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GIZ\OneDrive - Deutsche Gesellschaft für Internationale Zusammenarbeit (GIZ) GmbH\Desktop\bussiness modèle\BP pour Energy pedia\"/>
    </mc:Choice>
  </mc:AlternateContent>
  <xr:revisionPtr revIDLastSave="0" documentId="13_ncr:1_{DFDE2165-3D35-4A5A-8A15-960DDF3812C6}" xr6:coauthVersionLast="46" xr6:coauthVersionMax="46" xr10:uidLastSave="{00000000-0000-0000-0000-000000000000}"/>
  <bookViews>
    <workbookView xWindow="-110" yWindow="-110" windowWidth="19420" windowHeight="10420" tabRatio="500" xr2:uid="{00000000-000D-0000-FFFF-FFFF00000000}"/>
  </bookViews>
  <sheets>
    <sheet name="Table rentabilité" sheetId="1" r:id="rId1"/>
    <sheet name="Remboursement Mensualités" sheetId="2" state="hidden" r:id="rId2"/>
    <sheet name="investissement réel" sheetId="8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6" i="1" l="1"/>
  <c r="D124" i="1" l="1"/>
  <c r="D126" i="1"/>
  <c r="C127" i="1"/>
  <c r="D127" i="1"/>
  <c r="D15" i="8"/>
  <c r="D125" i="1"/>
  <c r="D123" i="1"/>
  <c r="D122" i="1"/>
  <c r="D121" i="1"/>
  <c r="D119" i="1"/>
  <c r="D118" i="1"/>
  <c r="D117" i="1"/>
  <c r="D116" i="1"/>
  <c r="C126" i="1"/>
  <c r="C123" i="1"/>
  <c r="C122" i="1"/>
  <c r="C121" i="1"/>
  <c r="C120" i="1"/>
  <c r="C119" i="1"/>
  <c r="C117" i="1"/>
  <c r="C118" i="1"/>
  <c r="C116" i="1"/>
  <c r="F116" i="1" s="1"/>
  <c r="F56" i="1"/>
  <c r="D12" i="8" l="1"/>
  <c r="D14" i="8"/>
  <c r="D13" i="8" l="1"/>
  <c r="E13" i="8"/>
  <c r="G19" i="1" l="1"/>
  <c r="C103" i="1" l="1"/>
  <c r="G20" i="1"/>
  <c r="H20" i="1" s="1"/>
  <c r="G21" i="1"/>
  <c r="H21" i="1" s="1"/>
  <c r="F21" i="1"/>
  <c r="F77" i="1" l="1"/>
  <c r="L49" i="1" s="1"/>
  <c r="F137" i="1"/>
  <c r="G137" i="1" s="1"/>
  <c r="F136" i="1"/>
  <c r="G136" i="1" s="1"/>
  <c r="F110" i="1"/>
  <c r="G110" i="1" s="1"/>
  <c r="F111" i="1"/>
  <c r="G111" i="1" s="1"/>
  <c r="E109" i="1"/>
  <c r="E108" i="1"/>
  <c r="E107" i="1"/>
  <c r="E106" i="1"/>
  <c r="E105" i="1"/>
  <c r="E104" i="1"/>
  <c r="E103" i="1"/>
  <c r="F103" i="1" s="1"/>
  <c r="G103" i="1" s="1"/>
  <c r="E102" i="1"/>
  <c r="F102" i="1" s="1"/>
  <c r="G102" i="1" s="1"/>
  <c r="E101" i="1"/>
  <c r="F101" i="1" s="1"/>
  <c r="G101" i="1" s="1"/>
  <c r="C105" i="1"/>
  <c r="C109" i="1" s="1"/>
  <c r="C104" i="1"/>
  <c r="C102" i="1"/>
  <c r="C107" i="1" s="1"/>
  <c r="C101" i="1"/>
  <c r="C106" i="1" s="1"/>
  <c r="F127" i="1"/>
  <c r="G13" i="8"/>
  <c r="F12" i="8"/>
  <c r="E12" i="8"/>
  <c r="E14" i="8"/>
  <c r="G14" i="8" s="1"/>
  <c r="E15" i="8"/>
  <c r="G15" i="8" s="1"/>
  <c r="D11" i="8"/>
  <c r="F109" i="1" l="1"/>
  <c r="G109" i="1" s="1"/>
  <c r="F104" i="1"/>
  <c r="G104" i="1" s="1"/>
  <c r="F105" i="1"/>
  <c r="G105" i="1" s="1"/>
  <c r="F107" i="1"/>
  <c r="G107" i="1" s="1"/>
  <c r="F106" i="1"/>
  <c r="G106" i="1" s="1"/>
  <c r="C108" i="1"/>
  <c r="F108" i="1" s="1"/>
  <c r="G108" i="1" l="1"/>
  <c r="F112" i="1"/>
  <c r="D178" i="1" s="1"/>
  <c r="H19" i="1"/>
  <c r="D120" i="1" l="1"/>
  <c r="F134" i="1"/>
  <c r="G134" i="1" l="1"/>
  <c r="E5" i="8"/>
  <c r="G5" i="8" s="1"/>
  <c r="E6" i="8"/>
  <c r="E8" i="8" l="1"/>
  <c r="G8" i="8" s="1"/>
  <c r="E10" i="8"/>
  <c r="E11" i="8"/>
  <c r="G11" i="8" s="1"/>
  <c r="E7" i="8"/>
  <c r="E22" i="8"/>
  <c r="E21" i="8"/>
  <c r="E20" i="8"/>
  <c r="E19" i="8"/>
  <c r="E18" i="8"/>
  <c r="E17" i="8"/>
  <c r="E16" i="8"/>
  <c r="E9" i="8"/>
  <c r="G9" i="8" s="1"/>
  <c r="E4" i="8"/>
  <c r="G4" i="8" s="1"/>
  <c r="G12" i="8" l="1"/>
  <c r="E23" i="8"/>
  <c r="G7" i="8"/>
  <c r="G10" i="8"/>
  <c r="G6" i="8"/>
  <c r="G23" i="8" l="1"/>
  <c r="F119" i="1" l="1"/>
  <c r="G119" i="1" s="1"/>
  <c r="O46" i="1" l="1"/>
  <c r="F78" i="1" s="1"/>
  <c r="F126" i="1"/>
  <c r="G126" i="1" s="1"/>
  <c r="G127" i="1"/>
  <c r="B4" i="2"/>
  <c r="A14" i="2" s="1"/>
  <c r="F14" i="2" s="1"/>
  <c r="B2" i="2"/>
  <c r="F161" i="1"/>
  <c r="F162" i="1"/>
  <c r="F163" i="1"/>
  <c r="F164" i="1"/>
  <c r="F165" i="1"/>
  <c r="F166" i="1"/>
  <c r="F167" i="1"/>
  <c r="F168" i="1"/>
  <c r="F169" i="1"/>
  <c r="F170" i="1"/>
  <c r="F84" i="1" l="1"/>
  <c r="C124" i="1" s="1"/>
  <c r="C4" i="2"/>
  <c r="A15" i="2" s="1"/>
  <c r="A16" i="2" s="1"/>
  <c r="K181" i="1"/>
  <c r="L181" i="1"/>
  <c r="G14" i="2"/>
  <c r="C155" i="1" l="1"/>
  <c r="F135" i="1"/>
  <c r="K49" i="1"/>
  <c r="J49" i="1" s="1"/>
  <c r="J50" i="1" s="1"/>
  <c r="G15" i="2"/>
  <c r="F15" i="2" s="1"/>
  <c r="A17" i="2"/>
  <c r="A18" i="2" s="1"/>
  <c r="G135" i="1" l="1"/>
  <c r="G138" i="1" s="1"/>
  <c r="F138" i="1"/>
  <c r="D179" i="1" s="1"/>
  <c r="C152" i="1"/>
  <c r="L51" i="1"/>
  <c r="L52" i="1" s="1"/>
  <c r="L50" i="1"/>
  <c r="G16" i="2"/>
  <c r="K50" i="1"/>
  <c r="A19" i="2"/>
  <c r="F121" i="1"/>
  <c r="F124" i="1"/>
  <c r="G124" i="1" l="1"/>
  <c r="E178" i="1"/>
  <c r="F178" i="1" s="1"/>
  <c r="C154" i="1"/>
  <c r="G112" i="1"/>
  <c r="F120" i="1"/>
  <c r="G120" i="1" s="1"/>
  <c r="F117" i="1"/>
  <c r="G117" i="1" s="1"/>
  <c r="K51" i="1"/>
  <c r="F123" i="1"/>
  <c r="G123" i="1" s="1"/>
  <c r="F16" i="2"/>
  <c r="G17" i="2"/>
  <c r="G18" i="2" s="1"/>
  <c r="G19" i="2" s="1"/>
  <c r="A20" i="2"/>
  <c r="M50" i="1"/>
  <c r="M49" i="1"/>
  <c r="G121" i="1"/>
  <c r="E179" i="1" l="1"/>
  <c r="F179" i="1" s="1"/>
  <c r="G179" i="1" s="1"/>
  <c r="H179" i="1" s="1"/>
  <c r="I179" i="1" s="1"/>
  <c r="J179" i="1" s="1"/>
  <c r="K179" i="1" s="1"/>
  <c r="L179" i="1" s="1"/>
  <c r="C153" i="1"/>
  <c r="C156" i="1" s="1"/>
  <c r="D162" i="1" s="1"/>
  <c r="K52" i="1"/>
  <c r="J51" i="1"/>
  <c r="F17" i="2"/>
  <c r="F18" i="2" s="1"/>
  <c r="F19" i="2" s="1"/>
  <c r="G178" i="1"/>
  <c r="G20" i="2"/>
  <c r="A21" i="2"/>
  <c r="M51" i="1" l="1"/>
  <c r="J52" i="1"/>
  <c r="M52" i="1" s="1"/>
  <c r="F67" i="1" s="1"/>
  <c r="F20" i="2"/>
  <c r="A22" i="2"/>
  <c r="G21" i="2"/>
  <c r="H178" i="1"/>
  <c r="F21" i="2" l="1"/>
  <c r="G22" i="2"/>
  <c r="A23" i="2"/>
  <c r="I178" i="1"/>
  <c r="F22" i="2" l="1"/>
  <c r="J178" i="1"/>
  <c r="A24" i="2"/>
  <c r="G23" i="2"/>
  <c r="F23" i="2" l="1"/>
  <c r="G24" i="2"/>
  <c r="A25" i="2"/>
  <c r="K178" i="1"/>
  <c r="F24" i="2" l="1"/>
  <c r="L178" i="1"/>
  <c r="G25" i="2"/>
  <c r="A26" i="2"/>
  <c r="F25" i="2" l="1"/>
  <c r="A27" i="2"/>
  <c r="G26" i="2"/>
  <c r="F26" i="2" l="1"/>
  <c r="A28" i="2"/>
  <c r="G27" i="2"/>
  <c r="F27" i="2" l="1"/>
  <c r="G28" i="2"/>
  <c r="A29" i="2"/>
  <c r="F28" i="2" l="1"/>
  <c r="A30" i="2"/>
  <c r="G29" i="2"/>
  <c r="F29" i="2" l="1"/>
  <c r="G30" i="2"/>
  <c r="A31" i="2"/>
  <c r="F30" i="2" l="1"/>
  <c r="A32" i="2"/>
  <c r="G31" i="2"/>
  <c r="F31" i="2" l="1"/>
  <c r="G32" i="2"/>
  <c r="A33" i="2"/>
  <c r="F32" i="2" l="1"/>
  <c r="G33" i="2"/>
  <c r="A34" i="2"/>
  <c r="F33" i="2" l="1"/>
  <c r="A35" i="2"/>
  <c r="G34" i="2"/>
  <c r="F34" i="2" s="1"/>
  <c r="G35" i="2" l="1"/>
  <c r="F35" i="2" s="1"/>
  <c r="A36" i="2"/>
  <c r="G36" i="2" l="1"/>
  <c r="F36" i="2" s="1"/>
  <c r="A37" i="2"/>
  <c r="A38" i="2" l="1"/>
  <c r="G37" i="2"/>
  <c r="F37" i="2" s="1"/>
  <c r="G38" i="2" l="1"/>
  <c r="F38" i="2" s="1"/>
  <c r="A39" i="2"/>
  <c r="A40" i="2" l="1"/>
  <c r="G39" i="2"/>
  <c r="F39" i="2" s="1"/>
  <c r="G40" i="2" l="1"/>
  <c r="F40" i="2" s="1"/>
  <c r="A41" i="2"/>
  <c r="G41" i="2" l="1"/>
  <c r="F41" i="2" s="1"/>
  <c r="A42" i="2"/>
  <c r="A43" i="2" l="1"/>
  <c r="G42" i="2"/>
  <c r="F42" i="2" s="1"/>
  <c r="A44" i="2" l="1"/>
  <c r="G43" i="2"/>
  <c r="F43" i="2" s="1"/>
  <c r="G44" i="2" l="1"/>
  <c r="F44" i="2" s="1"/>
  <c r="A45" i="2"/>
  <c r="A46" i="2" l="1"/>
  <c r="G45" i="2"/>
  <c r="F45" i="2" s="1"/>
  <c r="G46" i="2" l="1"/>
  <c r="F46" i="2" s="1"/>
  <c r="A47" i="2"/>
  <c r="A48" i="2" l="1"/>
  <c r="G47" i="2"/>
  <c r="F47" i="2" s="1"/>
  <c r="G48" i="2" l="1"/>
  <c r="F48" i="2" s="1"/>
  <c r="A49" i="2"/>
  <c r="G49" i="2" l="1"/>
  <c r="F49" i="2" s="1"/>
  <c r="A50" i="2"/>
  <c r="A51" i="2" l="1"/>
  <c r="G50" i="2"/>
  <c r="F50" i="2" s="1"/>
  <c r="G51" i="2" l="1"/>
  <c r="F51" i="2" s="1"/>
  <c r="A52" i="2"/>
  <c r="G52" i="2" l="1"/>
  <c r="F52" i="2" s="1"/>
  <c r="A53" i="2"/>
  <c r="A54" i="2" l="1"/>
  <c r="G53" i="2"/>
  <c r="F53" i="2" s="1"/>
  <c r="G54" i="2" l="1"/>
  <c r="F54" i="2" s="1"/>
  <c r="A55" i="2"/>
  <c r="A56" i="2" l="1"/>
  <c r="G55" i="2"/>
  <c r="F55" i="2" s="1"/>
  <c r="G56" i="2" l="1"/>
  <c r="F56" i="2" s="1"/>
  <c r="A57" i="2"/>
  <c r="G57" i="2" l="1"/>
  <c r="F57" i="2" s="1"/>
  <c r="A58" i="2"/>
  <c r="A59" i="2" l="1"/>
  <c r="G58" i="2"/>
  <c r="F58" i="2" s="1"/>
  <c r="A60" i="2" l="1"/>
  <c r="G59" i="2"/>
  <c r="F59" i="2" s="1"/>
  <c r="G60" i="2" l="1"/>
  <c r="F60" i="2" s="1"/>
  <c r="A61" i="2"/>
  <c r="A62" i="2" l="1"/>
  <c r="G61" i="2"/>
  <c r="F61" i="2" s="1"/>
  <c r="G62" i="2" l="1"/>
  <c r="F62" i="2" s="1"/>
  <c r="A63" i="2"/>
  <c r="A64" i="2" l="1"/>
  <c r="G63" i="2"/>
  <c r="F63" i="2" s="1"/>
  <c r="G64" i="2" l="1"/>
  <c r="F64" i="2" s="1"/>
  <c r="A65" i="2"/>
  <c r="G65" i="2" l="1"/>
  <c r="F65" i="2" s="1"/>
  <c r="A66" i="2"/>
  <c r="A67" i="2" l="1"/>
  <c r="G66" i="2"/>
  <c r="F66" i="2" s="1"/>
  <c r="G67" i="2" l="1"/>
  <c r="F67" i="2" s="1"/>
  <c r="A68" i="2"/>
  <c r="G68" i="2" l="1"/>
  <c r="F68" i="2" s="1"/>
  <c r="A69" i="2"/>
  <c r="A70" i="2" l="1"/>
  <c r="G69" i="2"/>
  <c r="F69" i="2" s="1"/>
  <c r="G70" i="2" l="1"/>
  <c r="F70" i="2" s="1"/>
  <c r="A71" i="2"/>
  <c r="A72" i="2" l="1"/>
  <c r="G71" i="2"/>
  <c r="F71" i="2" s="1"/>
  <c r="G72" i="2" l="1"/>
  <c r="F72" i="2" s="1"/>
  <c r="A73" i="2"/>
  <c r="G73" i="2" l="1"/>
  <c r="F73" i="2" s="1"/>
  <c r="A74" i="2"/>
  <c r="A75" i="2" l="1"/>
  <c r="G74" i="2"/>
  <c r="F74" i="2" s="1"/>
  <c r="A76" i="2" l="1"/>
  <c r="G75" i="2"/>
  <c r="F75" i="2" s="1"/>
  <c r="A77" i="2" l="1"/>
  <c r="G76" i="2"/>
  <c r="F76" i="2" s="1"/>
  <c r="A78" i="2" l="1"/>
  <c r="G77" i="2"/>
  <c r="F77" i="2" s="1"/>
  <c r="A79" i="2" l="1"/>
  <c r="G78" i="2"/>
  <c r="F78" i="2" s="1"/>
  <c r="A80" i="2" l="1"/>
  <c r="G79" i="2"/>
  <c r="F79" i="2" s="1"/>
  <c r="A81" i="2" l="1"/>
  <c r="G80" i="2"/>
  <c r="F80" i="2" s="1"/>
  <c r="A82" i="2" l="1"/>
  <c r="G81" i="2"/>
  <c r="F81" i="2" s="1"/>
  <c r="A83" i="2" l="1"/>
  <c r="G82" i="2"/>
  <c r="F82" i="2" s="1"/>
  <c r="G83" i="2" l="1"/>
  <c r="F83" i="2" s="1"/>
  <c r="A84" i="2"/>
  <c r="A85" i="2" l="1"/>
  <c r="G84" i="2"/>
  <c r="F84" i="2" s="1"/>
  <c r="A86" i="2" l="1"/>
  <c r="G85" i="2"/>
  <c r="F85" i="2" s="1"/>
  <c r="A87" i="2" l="1"/>
  <c r="G86" i="2"/>
  <c r="F86" i="2" s="1"/>
  <c r="A88" i="2" l="1"/>
  <c r="G87" i="2"/>
  <c r="F87" i="2" s="1"/>
  <c r="A89" i="2" l="1"/>
  <c r="G88" i="2"/>
  <c r="F88" i="2" s="1"/>
  <c r="A90" i="2" l="1"/>
  <c r="G89" i="2"/>
  <c r="F89" i="2" s="1"/>
  <c r="A91" i="2" l="1"/>
  <c r="G90" i="2"/>
  <c r="F90" i="2" s="1"/>
  <c r="A92" i="2" l="1"/>
  <c r="G91" i="2"/>
  <c r="F91" i="2" s="1"/>
  <c r="A93" i="2" l="1"/>
  <c r="G92" i="2"/>
  <c r="F92" i="2" s="1"/>
  <c r="A94" i="2" l="1"/>
  <c r="G93" i="2"/>
  <c r="F93" i="2" s="1"/>
  <c r="A95" i="2" l="1"/>
  <c r="G94" i="2"/>
  <c r="F94" i="2" s="1"/>
  <c r="A96" i="2" l="1"/>
  <c r="G95" i="2"/>
  <c r="F95" i="2" s="1"/>
  <c r="A97" i="2" l="1"/>
  <c r="G96" i="2"/>
  <c r="F96" i="2" s="1"/>
  <c r="A98" i="2" l="1"/>
  <c r="G97" i="2"/>
  <c r="F97" i="2" s="1"/>
  <c r="B98" i="2" l="1"/>
  <c r="A99" i="2"/>
  <c r="F98" i="2"/>
  <c r="E98" i="2"/>
  <c r="C98" i="2"/>
  <c r="D98" i="2"/>
  <c r="G98" i="2"/>
  <c r="B99" i="2" l="1"/>
  <c r="D99" i="2"/>
  <c r="A100" i="2"/>
  <c r="G99" i="2"/>
  <c r="E99" i="2"/>
  <c r="F99" i="2"/>
  <c r="C99" i="2"/>
  <c r="B100" i="2" l="1"/>
  <c r="A101" i="2"/>
  <c r="F100" i="2"/>
  <c r="D100" i="2"/>
  <c r="C100" i="2"/>
  <c r="G100" i="2"/>
  <c r="E100" i="2"/>
  <c r="A102" i="2" l="1"/>
  <c r="C101" i="2"/>
  <c r="G101" i="2"/>
  <c r="F101" i="2"/>
  <c r="D101" i="2"/>
  <c r="B101" i="2"/>
  <c r="E101" i="2"/>
  <c r="F102" i="2" l="1"/>
  <c r="B102" i="2"/>
  <c r="A103" i="2"/>
  <c r="D102" i="2"/>
  <c r="G102" i="2"/>
  <c r="E102" i="2"/>
  <c r="C102" i="2"/>
  <c r="F103" i="2" l="1"/>
  <c r="B103" i="2"/>
  <c r="A104" i="2"/>
  <c r="E103" i="2"/>
  <c r="C103" i="2"/>
  <c r="D103" i="2"/>
  <c r="G103" i="2"/>
  <c r="B104" i="2" l="1"/>
  <c r="A105" i="2"/>
  <c r="F104" i="2"/>
  <c r="E104" i="2"/>
  <c r="D104" i="2"/>
  <c r="G104" i="2"/>
  <c r="C104" i="2"/>
  <c r="F105" i="2" l="1"/>
  <c r="B105" i="2"/>
  <c r="A106" i="2"/>
  <c r="E105" i="2"/>
  <c r="G105" i="2"/>
  <c r="C105" i="2"/>
  <c r="D105" i="2"/>
  <c r="A107" i="2" l="1"/>
  <c r="E106" i="2"/>
  <c r="C106" i="2"/>
  <c r="F106" i="2"/>
  <c r="D106" i="2"/>
  <c r="B106" i="2"/>
  <c r="G106" i="2"/>
  <c r="B107" i="2" l="1"/>
  <c r="A108" i="2"/>
  <c r="F107" i="2"/>
  <c r="D107" i="2"/>
  <c r="G107" i="2"/>
  <c r="E107" i="2"/>
  <c r="C107" i="2"/>
  <c r="B108" i="2" l="1"/>
  <c r="A109" i="2"/>
  <c r="F108" i="2"/>
  <c r="G108" i="2"/>
  <c r="E108" i="2"/>
  <c r="C108" i="2"/>
  <c r="D108" i="2"/>
  <c r="A110" i="2" l="1"/>
  <c r="D109" i="2"/>
  <c r="C109" i="2"/>
  <c r="G109" i="2"/>
  <c r="F109" i="2"/>
  <c r="B109" i="2"/>
  <c r="E109" i="2"/>
  <c r="F110" i="2" l="1"/>
  <c r="B110" i="2"/>
  <c r="A111" i="2"/>
  <c r="G110" i="2"/>
  <c r="D110" i="2"/>
  <c r="E110" i="2"/>
  <c r="C110" i="2"/>
  <c r="F111" i="2" l="1"/>
  <c r="A112" i="2"/>
  <c r="G111" i="2"/>
  <c r="E111" i="2"/>
  <c r="D111" i="2"/>
  <c r="C111" i="2"/>
  <c r="B111" i="2"/>
  <c r="B112" i="2" l="1"/>
  <c r="A113" i="2"/>
  <c r="D112" i="2"/>
  <c r="E112" i="2"/>
  <c r="F112" i="2"/>
  <c r="G112" i="2"/>
  <c r="C112" i="2"/>
  <c r="B113" i="2" l="1"/>
  <c r="A114" i="2"/>
  <c r="G113" i="2"/>
  <c r="E113" i="2"/>
  <c r="D113" i="2"/>
  <c r="C113" i="2"/>
  <c r="F113" i="2"/>
  <c r="F114" i="2" l="1"/>
  <c r="A115" i="2"/>
  <c r="B114" i="2"/>
  <c r="E114" i="2"/>
  <c r="C114" i="2"/>
  <c r="D114" i="2"/>
  <c r="G114" i="2"/>
  <c r="F115" i="2" l="1"/>
  <c r="B115" i="2"/>
  <c r="D115" i="2"/>
  <c r="A116" i="2"/>
  <c r="C115" i="2"/>
  <c r="G115" i="2"/>
  <c r="E115" i="2"/>
  <c r="B116" i="2" l="1"/>
  <c r="A117" i="2"/>
  <c r="G116" i="2"/>
  <c r="E116" i="2"/>
  <c r="C116" i="2"/>
  <c r="F116" i="2"/>
  <c r="D116" i="2"/>
  <c r="F117" i="2" l="1"/>
  <c r="A118" i="2"/>
  <c r="C117" i="2"/>
  <c r="B117" i="2"/>
  <c r="G117" i="2"/>
  <c r="D117" i="2"/>
  <c r="E117" i="2"/>
  <c r="F118" i="2" l="1"/>
  <c r="B118" i="2"/>
  <c r="A119" i="2"/>
  <c r="D118" i="2"/>
  <c r="G118" i="2"/>
  <c r="E118" i="2"/>
  <c r="C118" i="2"/>
  <c r="F119" i="2" l="1"/>
  <c r="A120" i="2"/>
  <c r="G119" i="2"/>
  <c r="D119" i="2"/>
  <c r="E119" i="2"/>
  <c r="B119" i="2"/>
  <c r="C119" i="2"/>
  <c r="B120" i="2" l="1"/>
  <c r="A121" i="2"/>
  <c r="F120" i="2"/>
  <c r="D120" i="2"/>
  <c r="E120" i="2"/>
  <c r="G120" i="2"/>
  <c r="C120" i="2"/>
  <c r="B121" i="2" l="1"/>
  <c r="A122" i="2"/>
  <c r="G121" i="2"/>
  <c r="E121" i="2"/>
  <c r="D121" i="2"/>
  <c r="C121" i="2"/>
  <c r="F121" i="2"/>
  <c r="A123" i="2" l="1"/>
  <c r="F122" i="2"/>
  <c r="E122" i="2"/>
  <c r="C122" i="2"/>
  <c r="B122" i="2"/>
  <c r="D122" i="2"/>
  <c r="G122" i="2"/>
  <c r="B123" i="2" l="1"/>
  <c r="A124" i="2"/>
  <c r="D123" i="2"/>
  <c r="F123" i="2"/>
  <c r="G123" i="2"/>
  <c r="E123" i="2"/>
  <c r="C123" i="2"/>
  <c r="B124" i="2" l="1"/>
  <c r="A125" i="2"/>
  <c r="F124" i="2"/>
  <c r="C124" i="2"/>
  <c r="G124" i="2"/>
  <c r="E124" i="2"/>
  <c r="D124" i="2"/>
  <c r="F125" i="2" l="1"/>
  <c r="A126" i="2"/>
  <c r="C125" i="2"/>
  <c r="G125" i="2"/>
  <c r="B125" i="2"/>
  <c r="D125" i="2"/>
  <c r="E125" i="2"/>
  <c r="F126" i="2" l="1"/>
  <c r="B126" i="2"/>
  <c r="A127" i="2"/>
  <c r="G126" i="2"/>
  <c r="E126" i="2"/>
  <c r="C126" i="2"/>
  <c r="D126" i="2"/>
  <c r="F127" i="2" l="1"/>
  <c r="A128" i="2"/>
  <c r="D127" i="2"/>
  <c r="E127" i="2"/>
  <c r="C127" i="2"/>
  <c r="B127" i="2"/>
  <c r="G127" i="2"/>
  <c r="B128" i="2" l="1"/>
  <c r="A129" i="2"/>
  <c r="D128" i="2"/>
  <c r="F128" i="2"/>
  <c r="E128" i="2"/>
  <c r="G128" i="2"/>
  <c r="C128" i="2"/>
  <c r="B129" i="2" l="1"/>
  <c r="A130" i="2"/>
  <c r="F129" i="2"/>
  <c r="E129" i="2"/>
  <c r="D129" i="2"/>
  <c r="G129" i="2"/>
  <c r="C129" i="2"/>
  <c r="A131" i="2" l="1"/>
  <c r="F130" i="2"/>
  <c r="E130" i="2"/>
  <c r="C130" i="2"/>
  <c r="D130" i="2"/>
  <c r="B130" i="2"/>
  <c r="G130" i="2"/>
  <c r="B131" i="2" l="1"/>
  <c r="D131" i="2"/>
  <c r="A132" i="2"/>
  <c r="C131" i="2"/>
  <c r="F131" i="2"/>
  <c r="G131" i="2"/>
  <c r="E131" i="2"/>
  <c r="B132" i="2" l="1"/>
  <c r="A133" i="2"/>
  <c r="G132" i="2"/>
  <c r="E132" i="2"/>
  <c r="C132" i="2"/>
  <c r="F132" i="2"/>
  <c r="D132" i="2"/>
  <c r="C133" i="2" l="1"/>
  <c r="G133" i="2"/>
  <c r="F133" i="2"/>
  <c r="D133" i="2"/>
  <c r="B133" i="2"/>
  <c r="E133" i="2"/>
  <c r="K169" i="1" l="1"/>
  <c r="K168" i="1"/>
  <c r="K170" i="1"/>
  <c r="H168" i="1"/>
  <c r="H169" i="1"/>
  <c r="J168" i="1"/>
  <c r="I170" i="1"/>
  <c r="G170" i="1"/>
  <c r="H170" i="1"/>
  <c r="J170" i="1"/>
  <c r="I169" i="1"/>
  <c r="J169" i="1"/>
  <c r="G168" i="1"/>
  <c r="I168" i="1"/>
  <c r="G169" i="1"/>
  <c r="F118" i="1" l="1"/>
  <c r="J38" i="1"/>
  <c r="I38" i="1" s="1"/>
  <c r="F85" i="1" l="1"/>
  <c r="F79" i="1"/>
  <c r="G118" i="1"/>
  <c r="F86" i="1" l="1"/>
  <c r="F87" i="1" s="1"/>
  <c r="F89" i="1"/>
  <c r="F122" i="1"/>
  <c r="G122" i="1" s="1"/>
  <c r="D164" i="1" l="1"/>
  <c r="G116" i="1" l="1"/>
  <c r="E74" i="2" l="1"/>
  <c r="E76" i="2"/>
  <c r="E79" i="2"/>
  <c r="C82" i="2"/>
  <c r="C84" i="2"/>
  <c r="C87" i="2"/>
  <c r="C90" i="2"/>
  <c r="C92" i="2"/>
  <c r="D95" i="2"/>
  <c r="C95" i="2"/>
  <c r="D88" i="2"/>
  <c r="D93" i="2"/>
  <c r="D96" i="2"/>
  <c r="E92" i="2"/>
  <c r="D74" i="2"/>
  <c r="D77" i="2"/>
  <c r="D79" i="2"/>
  <c r="E82" i="2"/>
  <c r="E85" i="2"/>
  <c r="E87" i="2"/>
  <c r="D90" i="2"/>
  <c r="C93" i="2"/>
  <c r="B93" i="2" s="1"/>
  <c r="E90" i="2"/>
  <c r="C96" i="2"/>
  <c r="B96" i="2" s="1"/>
  <c r="E88" i="2"/>
  <c r="D92" i="2"/>
  <c r="C74" i="2"/>
  <c r="E77" i="2"/>
  <c r="D80" i="2"/>
  <c r="D82" i="2"/>
  <c r="C85" i="2"/>
  <c r="E93" i="2"/>
  <c r="C91" i="2"/>
  <c r="D89" i="2"/>
  <c r="D75" i="2"/>
  <c r="C77" i="2"/>
  <c r="B77" i="2" s="1"/>
  <c r="E80" i="2"/>
  <c r="C83" i="2"/>
  <c r="D85" i="2"/>
  <c r="C88" i="2"/>
  <c r="B88" i="2" s="1"/>
  <c r="E96" i="2"/>
  <c r="C94" i="2"/>
  <c r="E95" i="2"/>
  <c r="E75" i="2"/>
  <c r="C78" i="2"/>
  <c r="C80" i="2"/>
  <c r="B80" i="2" s="1"/>
  <c r="D83" i="2"/>
  <c r="C86" i="2"/>
  <c r="D91" i="2"/>
  <c r="D94" i="2"/>
  <c r="C75" i="2"/>
  <c r="B75" i="2" s="1"/>
  <c r="E78" i="2"/>
  <c r="D81" i="2"/>
  <c r="E83" i="2"/>
  <c r="E86" i="2"/>
  <c r="C89" i="2"/>
  <c r="B89" i="2" s="1"/>
  <c r="E91" i="2"/>
  <c r="E94" i="2"/>
  <c r="C97" i="2"/>
  <c r="D86" i="2"/>
  <c r="H167" i="1" s="1"/>
  <c r="C76" i="2"/>
  <c r="B76" i="2" s="1"/>
  <c r="D78" i="2"/>
  <c r="C81" i="2"/>
  <c r="B81" i="2" s="1"/>
  <c r="D84" i="2"/>
  <c r="D97" i="2"/>
  <c r="D76" i="2"/>
  <c r="C79" i="2"/>
  <c r="B79" i="2" s="1"/>
  <c r="E81" i="2"/>
  <c r="E84" i="2"/>
  <c r="D87" i="2"/>
  <c r="E89" i="2"/>
  <c r="E97" i="2"/>
  <c r="D70" i="2"/>
  <c r="C71" i="2"/>
  <c r="D71" i="2"/>
  <c r="D69" i="2"/>
  <c r="C70" i="2"/>
  <c r="D72" i="2"/>
  <c r="E69" i="2"/>
  <c r="E71" i="2"/>
  <c r="E68" i="2"/>
  <c r="C68" i="2"/>
  <c r="E73" i="2"/>
  <c r="D73" i="2"/>
  <c r="D68" i="2"/>
  <c r="C72" i="2"/>
  <c r="B72" i="2" s="1"/>
  <c r="E70" i="2"/>
  <c r="C69" i="2"/>
  <c r="C73" i="2"/>
  <c r="E72" i="2"/>
  <c r="C65" i="2"/>
  <c r="D64" i="2"/>
  <c r="E65" i="2"/>
  <c r="D63" i="2"/>
  <c r="C66" i="2"/>
  <c r="C64" i="2"/>
  <c r="C63" i="2"/>
  <c r="E63" i="2"/>
  <c r="D66" i="2"/>
  <c r="D67" i="2"/>
  <c r="D65" i="2"/>
  <c r="E64" i="2"/>
  <c r="D62" i="2"/>
  <c r="E62" i="2"/>
  <c r="C67" i="2"/>
  <c r="E66" i="2"/>
  <c r="E67" i="2"/>
  <c r="C62" i="2"/>
  <c r="B64" i="2" l="1"/>
  <c r="B63" i="2"/>
  <c r="B69" i="2"/>
  <c r="G167" i="1"/>
  <c r="B86" i="2"/>
  <c r="K167" i="1"/>
  <c r="B92" i="2"/>
  <c r="I167" i="1"/>
  <c r="B85" i="2"/>
  <c r="H166" i="1"/>
  <c r="B90" i="2"/>
  <c r="B83" i="2"/>
  <c r="B87" i="2"/>
  <c r="B70" i="2"/>
  <c r="B78" i="2"/>
  <c r="B84" i="2"/>
  <c r="B82" i="2"/>
  <c r="B97" i="2"/>
  <c r="B74" i="2"/>
  <c r="K166" i="1"/>
  <c r="G166" i="1"/>
  <c r="B94" i="2"/>
  <c r="B95" i="2"/>
  <c r="B73" i="2"/>
  <c r="B91" i="2"/>
  <c r="I166" i="1"/>
  <c r="G165" i="1"/>
  <c r="I165" i="1"/>
  <c r="H165" i="1"/>
  <c r="B68" i="2"/>
  <c r="B71" i="2"/>
  <c r="B62" i="2"/>
  <c r="B67" i="2"/>
  <c r="B66" i="2"/>
  <c r="B65" i="2"/>
  <c r="J165" i="1" l="1"/>
  <c r="K165" i="1" s="1"/>
  <c r="J167" i="1"/>
  <c r="J181" i="1" s="1"/>
  <c r="J166" i="1"/>
  <c r="I181" i="1" s="1"/>
  <c r="H181" i="1" l="1"/>
  <c r="F88" i="1" l="1"/>
  <c r="C125" i="1" l="1"/>
  <c r="F125" i="1" s="1"/>
  <c r="F128" i="1" l="1"/>
  <c r="G125" i="1"/>
  <c r="D161" i="1"/>
  <c r="C179" i="1" s="1"/>
  <c r="C187" i="1" s="1"/>
  <c r="L110" i="1"/>
  <c r="L113" i="1"/>
  <c r="L112" i="1"/>
  <c r="G128" i="1"/>
  <c r="E180" i="1" l="1"/>
  <c r="K180" i="1"/>
  <c r="K182" i="1" s="1"/>
  <c r="K183" i="1" s="1"/>
  <c r="K184" i="1" s="1"/>
  <c r="H180" i="1"/>
  <c r="H182" i="1" s="1"/>
  <c r="H183" i="1" s="1"/>
  <c r="H184" i="1" s="1"/>
  <c r="D180" i="1"/>
  <c r="I180" i="1"/>
  <c r="I182" i="1" s="1"/>
  <c r="I183" i="1" s="1"/>
  <c r="I184" i="1" s="1"/>
  <c r="H128" i="1"/>
  <c r="G180" i="1"/>
  <c r="F180" i="1"/>
  <c r="J180" i="1"/>
  <c r="J182" i="1" s="1"/>
  <c r="J183" i="1" s="1"/>
  <c r="J184" i="1" s="1"/>
  <c r="L180" i="1"/>
  <c r="L182" i="1" s="1"/>
  <c r="L183" i="1" s="1"/>
  <c r="L184" i="1" s="1"/>
  <c r="M179" i="1"/>
  <c r="D163" i="1"/>
  <c r="N193" i="1"/>
  <c r="M180" i="1" l="1"/>
  <c r="C164" i="1"/>
  <c r="C166" i="1" s="1"/>
  <c r="D166" i="1" s="1"/>
  <c r="C178" i="1" s="1"/>
  <c r="D165" i="1"/>
  <c r="B3" i="2" l="1"/>
  <c r="D26" i="2" s="1"/>
  <c r="C185" i="1"/>
  <c r="C17" i="2"/>
  <c r="C59" i="2"/>
  <c r="E20" i="2"/>
  <c r="D29" i="2"/>
  <c r="D35" i="2"/>
  <c r="D44" i="2"/>
  <c r="C52" i="2"/>
  <c r="D23" i="2"/>
  <c r="E41" i="2"/>
  <c r="E37" i="2"/>
  <c r="D34" i="2"/>
  <c r="C29" i="2"/>
  <c r="C26" i="2"/>
  <c r="D19" i="2"/>
  <c r="C36" i="2"/>
  <c r="E24" i="2"/>
  <c r="D31" i="2"/>
  <c r="C25" i="2"/>
  <c r="D27" i="2"/>
  <c r="E42" i="2"/>
  <c r="D14" i="2"/>
  <c r="D30" i="2"/>
  <c r="C35" i="2"/>
  <c r="C42" i="2"/>
  <c r="C20" i="2"/>
  <c r="E21" i="2"/>
  <c r="E15" i="2"/>
  <c r="D46" i="2"/>
  <c r="E47" i="2"/>
  <c r="C30" i="2"/>
  <c r="E19" i="2"/>
  <c r="E26" i="2"/>
  <c r="E18" i="2"/>
  <c r="C33" i="2"/>
  <c r="D15" i="2"/>
  <c r="C40" i="2"/>
  <c r="E32" i="2"/>
  <c r="D43" i="2"/>
  <c r="D24" i="2"/>
  <c r="E52" i="2"/>
  <c r="C57" i="2"/>
  <c r="D59" i="2"/>
  <c r="E34" i="2"/>
  <c r="E28" i="2"/>
  <c r="E17" i="2"/>
  <c r="C51" i="2"/>
  <c r="D50" i="2"/>
  <c r="C15" i="2"/>
  <c r="E58" i="2"/>
  <c r="D18" i="2"/>
  <c r="E61" i="2"/>
  <c r="E45" i="2"/>
  <c r="D21" i="2"/>
  <c r="E30" i="2"/>
  <c r="C37" i="2"/>
  <c r="C61" i="2"/>
  <c r="C21" i="2"/>
  <c r="D54" i="2"/>
  <c r="C19" i="2"/>
  <c r="D39" i="2"/>
  <c r="D36" i="2"/>
  <c r="D47" i="2"/>
  <c r="C58" i="2"/>
  <c r="D41" i="2"/>
  <c r="D51" i="2"/>
  <c r="E23" i="2"/>
  <c r="C49" i="2"/>
  <c r="E16" i="2"/>
  <c r="D38" i="2"/>
  <c r="C43" i="2"/>
  <c r="B43" i="2" s="1"/>
  <c r="E25" i="2"/>
  <c r="D37" i="2"/>
  <c r="C48" i="2"/>
  <c r="D56" i="2"/>
  <c r="E44" i="2"/>
  <c r="E29" i="2"/>
  <c r="D28" i="2"/>
  <c r="C45" i="2"/>
  <c r="C44" i="2"/>
  <c r="C55" i="2"/>
  <c r="B9" i="2"/>
  <c r="C34" i="2"/>
  <c r="D48" i="2"/>
  <c r="D55" i="2"/>
  <c r="E56" i="2"/>
  <c r="D33" i="2"/>
  <c r="D17" i="2"/>
  <c r="E46" i="2"/>
  <c r="E53" i="2"/>
  <c r="E38" i="2"/>
  <c r="E27" i="2"/>
  <c r="E50" i="2"/>
  <c r="D42" i="2"/>
  <c r="B5" i="2"/>
  <c r="C39" i="2"/>
  <c r="E31" i="2"/>
  <c r="D53" i="2"/>
  <c r="C38" i="2"/>
  <c r="D61" i="2"/>
  <c r="C54" i="2"/>
  <c r="D20" i="2"/>
  <c r="C41" i="2"/>
  <c r="E40" i="2"/>
  <c r="E51" i="2"/>
  <c r="D49" i="2"/>
  <c r="D32" i="2"/>
  <c r="E57" i="2"/>
  <c r="C31" i="2"/>
  <c r="E60" i="2"/>
  <c r="E36" i="2"/>
  <c r="C24" i="2"/>
  <c r="B24" i="2" s="1"/>
  <c r="E33" i="2"/>
  <c r="C32" i="2"/>
  <c r="E39" i="2"/>
  <c r="E59" i="2"/>
  <c r="C46" i="2"/>
  <c r="B46" i="2" s="1"/>
  <c r="C18" i="2"/>
  <c r="C53" i="2"/>
  <c r="C23" i="2"/>
  <c r="E48" i="2"/>
  <c r="C56" i="2"/>
  <c r="C22" i="2"/>
  <c r="D16" i="2"/>
  <c r="C60" i="2"/>
  <c r="C16" i="2"/>
  <c r="E54" i="2"/>
  <c r="D45" i="2"/>
  <c r="E49" i="2"/>
  <c r="D40" i="2"/>
  <c r="D25" i="2"/>
  <c r="D57" i="2"/>
  <c r="C28" i="2"/>
  <c r="C47" i="2"/>
  <c r="E22" i="2"/>
  <c r="D22" i="2"/>
  <c r="E43" i="2"/>
  <c r="D58" i="2"/>
  <c r="C27" i="2"/>
  <c r="C50" i="2"/>
  <c r="E14" i="2"/>
  <c r="D60" i="2"/>
  <c r="C14" i="2"/>
  <c r="E35" i="2"/>
  <c r="D52" i="2"/>
  <c r="B52" i="2" s="1"/>
  <c r="B30" i="2" l="1"/>
  <c r="B19" i="2"/>
  <c r="E55" i="2"/>
  <c r="B8" i="2"/>
  <c r="B60" i="2"/>
  <c r="B23" i="2"/>
  <c r="B18" i="2"/>
  <c r="B47" i="2"/>
  <c r="B16" i="2"/>
  <c r="M178" i="1"/>
  <c r="B54" i="2"/>
  <c r="B27" i="2"/>
  <c r="B39" i="2"/>
  <c r="B31" i="2"/>
  <c r="B59" i="2"/>
  <c r="B34" i="2"/>
  <c r="B15" i="2"/>
  <c r="B53" i="2"/>
  <c r="H163" i="1"/>
  <c r="I161" i="1"/>
  <c r="I164" i="1"/>
  <c r="H161" i="1"/>
  <c r="I163" i="1"/>
  <c r="I162" i="1"/>
  <c r="H164" i="1"/>
  <c r="H162" i="1"/>
  <c r="B29" i="2"/>
  <c r="B56" i="2"/>
  <c r="B28" i="2"/>
  <c r="B44" i="2"/>
  <c r="B55" i="2"/>
  <c r="B22" i="2"/>
  <c r="B41" i="2"/>
  <c r="B26" i="2"/>
  <c r="G162" i="1"/>
  <c r="B40" i="2"/>
  <c r="B50" i="2"/>
  <c r="G164" i="1"/>
  <c r="B49" i="2"/>
  <c r="B38" i="2"/>
  <c r="G163" i="1"/>
  <c r="B33" i="2"/>
  <c r="B25" i="2"/>
  <c r="B32" i="2"/>
  <c r="B48" i="2"/>
  <c r="B21" i="2"/>
  <c r="B57" i="2"/>
  <c r="B20" i="2"/>
  <c r="B61" i="2"/>
  <c r="B42" i="2"/>
  <c r="B17" i="2"/>
  <c r="B58" i="2"/>
  <c r="B37" i="2"/>
  <c r="B35" i="2"/>
  <c r="B36" i="2"/>
  <c r="B14" i="2"/>
  <c r="G161" i="1"/>
  <c r="B45" i="2"/>
  <c r="B51" i="2"/>
  <c r="J164" i="1" l="1"/>
  <c r="G181" i="1" s="1"/>
  <c r="G182" i="1" s="1"/>
  <c r="G183" i="1" s="1"/>
  <c r="G184" i="1" s="1"/>
  <c r="G186" i="1" s="1"/>
  <c r="R193" i="1" s="1"/>
  <c r="J162" i="1"/>
  <c r="E181" i="1" s="1"/>
  <c r="E182" i="1" s="1"/>
  <c r="E183" i="1" s="1"/>
  <c r="E184" i="1" s="1"/>
  <c r="E186" i="1" s="1"/>
  <c r="P193" i="1" s="1"/>
  <c r="H171" i="1"/>
  <c r="J163" i="1"/>
  <c r="F181" i="1" s="1"/>
  <c r="F182" i="1" s="1"/>
  <c r="F183" i="1" s="1"/>
  <c r="F184" i="1" s="1"/>
  <c r="F186" i="1" s="1"/>
  <c r="Q193" i="1" s="1"/>
  <c r="G171" i="1"/>
  <c r="J161" i="1"/>
  <c r="D181" i="1" s="1"/>
  <c r="I171" i="1"/>
  <c r="K164" i="1" l="1"/>
  <c r="K163" i="1"/>
  <c r="K162" i="1"/>
  <c r="K161" i="1"/>
  <c r="J171" i="1"/>
  <c r="I186" i="1"/>
  <c r="T193" i="1" s="1"/>
  <c r="J186" i="1"/>
  <c r="U193" i="1" s="1"/>
  <c r="H186" i="1"/>
  <c r="S193" i="1" s="1"/>
  <c r="K186" i="1"/>
  <c r="V193" i="1" s="1"/>
  <c r="L186" i="1"/>
  <c r="W193" i="1" s="1"/>
  <c r="M181" i="1"/>
  <c r="C196" i="1"/>
  <c r="D182" i="1"/>
  <c r="K171" i="1" l="1"/>
  <c r="M182" i="1"/>
  <c r="D183" i="1"/>
  <c r="M183" i="1" s="1"/>
  <c r="D184" i="1" l="1"/>
  <c r="M184" i="1" s="1"/>
  <c r="D185" i="1" l="1"/>
  <c r="E185" i="1" s="1"/>
  <c r="F185" i="1" s="1"/>
  <c r="G185" i="1" s="1"/>
  <c r="H185" i="1" s="1"/>
  <c r="I185" i="1" s="1"/>
  <c r="J185" i="1" s="1"/>
  <c r="K185" i="1" s="1"/>
  <c r="L185" i="1" s="1"/>
  <c r="D186" i="1"/>
  <c r="M186" i="1" s="1"/>
  <c r="N192" i="1"/>
  <c r="C192" i="1"/>
  <c r="O193" i="1"/>
  <c r="D187" i="1"/>
  <c r="M185" i="1" l="1"/>
  <c r="E187" i="1"/>
  <c r="F187" i="1" s="1"/>
  <c r="G187" i="1" s="1"/>
  <c r="H187" i="1" s="1"/>
  <c r="I187" i="1" s="1"/>
  <c r="J187" i="1" s="1"/>
  <c r="K187" i="1" s="1"/>
  <c r="L187" i="1" s="1"/>
  <c r="P195" i="1" s="1"/>
  <c r="C194" i="1"/>
  <c r="N194" i="1" s="1"/>
  <c r="D194" i="1" s="1"/>
  <c r="C193" i="1"/>
  <c r="N195" i="1" l="1"/>
  <c r="C195" i="1" s="1"/>
  <c r="D195" i="1" s="1"/>
  <c r="M187" i="1"/>
</calcChain>
</file>

<file path=xl/sharedStrings.xml><?xml version="1.0" encoding="utf-8"?>
<sst xmlns="http://schemas.openxmlformats.org/spreadsheetml/2006/main" count="308" uniqueCount="239">
  <si>
    <t>ETUDE RENTABILITE SOLUTIONS USAGE PRODUCTIF</t>
  </si>
  <si>
    <t>Cases à vérifier</t>
  </si>
  <si>
    <t>Cases à compléter</t>
  </si>
  <si>
    <t>Cases à laisser vides</t>
  </si>
  <si>
    <t>Cases calculées</t>
  </si>
  <si>
    <t>Caractéristiques techniques du Projet</t>
  </si>
  <si>
    <t>Usage Productif</t>
  </si>
  <si>
    <t>Rendement (kg/heure)</t>
  </si>
  <si>
    <t>Puissance (kW)</t>
  </si>
  <si>
    <t>Prix (FCFA)</t>
  </si>
  <si>
    <t>Energie consommée (KWh/j)</t>
  </si>
  <si>
    <t>Energie à produire (kWh/j)</t>
  </si>
  <si>
    <t>Fonctionnement optimal</t>
  </si>
  <si>
    <t>Coefficient déperdition (k)</t>
  </si>
  <si>
    <t>Projet</t>
  </si>
  <si>
    <t>Nominale</t>
  </si>
  <si>
    <t>heures par jour</t>
  </si>
  <si>
    <t>jours à l'année</t>
  </si>
  <si>
    <t>Alimentation Solaire</t>
  </si>
  <si>
    <t>Coefficient déperdition</t>
  </si>
  <si>
    <t>Tension (V)</t>
  </si>
  <si>
    <t>Batteries</t>
  </si>
  <si>
    <t>Capacité (Ampères/h)</t>
  </si>
  <si>
    <t>Durée de vie*</t>
  </si>
  <si>
    <t>* en conditions optimales, annoncées constructeur</t>
  </si>
  <si>
    <t>24V</t>
  </si>
  <si>
    <t>BlueSolar SPM-300-24 Monocristallin</t>
  </si>
  <si>
    <t>Victron Energy Gel 2</t>
  </si>
  <si>
    <t>Tension nécessaire système</t>
  </si>
  <si>
    <t>kVa</t>
  </si>
  <si>
    <t>Régulateur</t>
  </si>
  <si>
    <t>BlueSolar 150V 35A de Victron Energy</t>
  </si>
  <si>
    <t>12V/24V/48V</t>
  </si>
  <si>
    <t>Irradiation Solaire</t>
  </si>
  <si>
    <t xml:space="preserve">Month </t>
  </si>
  <si>
    <t xml:space="preserve">Jan </t>
  </si>
  <si>
    <t xml:space="preserve">Feb </t>
  </si>
  <si>
    <t xml:space="preserve">Mar </t>
  </si>
  <si>
    <t xml:space="preserve">Apr </t>
  </si>
  <si>
    <t xml:space="preserve">May </t>
  </si>
  <si>
    <t xml:space="preserve">Jun </t>
  </si>
  <si>
    <t xml:space="preserve">Jul </t>
  </si>
  <si>
    <t xml:space="preserve">Aug </t>
  </si>
  <si>
    <t xml:space="preserve">Sep </t>
  </si>
  <si>
    <t xml:space="preserve">Oct </t>
  </si>
  <si>
    <t xml:space="preserve">Nov </t>
  </si>
  <si>
    <t xml:space="preserve">Dec </t>
  </si>
  <si>
    <t>Year</t>
  </si>
  <si>
    <t>H(15)*</t>
  </si>
  <si>
    <t>Électricité du réseau</t>
  </si>
  <si>
    <t>1ère Tranche</t>
  </si>
  <si>
    <t>2ème Tranche</t>
  </si>
  <si>
    <t>3ème Tranche</t>
  </si>
  <si>
    <t>Total</t>
  </si>
  <si>
    <t>UP-Petite Puissance</t>
  </si>
  <si>
    <t>Tranche (KWh)</t>
  </si>
  <si>
    <t>∞</t>
  </si>
  <si>
    <t>Energie par Tranche</t>
  </si>
  <si>
    <t>Prix (KWh)</t>
  </si>
  <si>
    <t>Coût (FCFA)</t>
  </si>
  <si>
    <t>UP-Moyenne Puissance</t>
  </si>
  <si>
    <t>Tranche</t>
  </si>
  <si>
    <t>Choix de dimensionnement du projet</t>
  </si>
  <si>
    <t>Choix de l'alimentation solaire</t>
  </si>
  <si>
    <t>Choix du système de stokage</t>
  </si>
  <si>
    <t>Choix du régulateur</t>
  </si>
  <si>
    <t>Choix décortiqueuse solaire</t>
  </si>
  <si>
    <t>Autonomie nécessaires au projet (jours)</t>
  </si>
  <si>
    <t>Profondeur décharge batteries</t>
  </si>
  <si>
    <t>Choix du cas pour dimensionnement solaire</t>
  </si>
  <si>
    <t>best case</t>
  </si>
  <si>
    <t>worst case</t>
  </si>
  <si>
    <t>average</t>
  </si>
  <si>
    <t>x</t>
  </si>
  <si>
    <t>Energie journalière consommée (KWh)</t>
  </si>
  <si>
    <t>KWh</t>
  </si>
  <si>
    <t>Puissance crête projet (KW)</t>
  </si>
  <si>
    <t>Capacité totale système stockage (Ampères/heure)</t>
  </si>
  <si>
    <t>unités</t>
  </si>
  <si>
    <t>Nb de panneaux solaires</t>
  </si>
  <si>
    <t>Nb de batteries en série</t>
  </si>
  <si>
    <t>Nb de batteries en dérivation</t>
  </si>
  <si>
    <t>Nb de batteries total</t>
  </si>
  <si>
    <t>Durée de vie attendue de la batterie</t>
  </si>
  <si>
    <t>ans</t>
  </si>
  <si>
    <t>Nb régulateurs</t>
  </si>
  <si>
    <t xml:space="preserve">Ratio de fonctionnement </t>
  </si>
  <si>
    <t>Employés nécessaires pour fonctionnement</t>
  </si>
  <si>
    <t>personnes</t>
  </si>
  <si>
    <t>Calcul de charges variables et fixes</t>
  </si>
  <si>
    <t>CHARGES VARIABLES D'EXPLOITATION</t>
  </si>
  <si>
    <t>Désignation</t>
  </si>
  <si>
    <t>Quantité</t>
  </si>
  <si>
    <t>Prix unitaire</t>
  </si>
  <si>
    <t>Montant total/an</t>
  </si>
  <si>
    <t>évolution annuelle charges d'exploitation</t>
  </si>
  <si>
    <t>Avantage coût électricité PV vs. Réseau</t>
  </si>
  <si>
    <t>Sur 1 an</t>
  </si>
  <si>
    <t xml:space="preserve"> TOTAL (F CFA) </t>
  </si>
  <si>
    <t>Sur 5 ans</t>
  </si>
  <si>
    <t>Sur 9 ans</t>
  </si>
  <si>
    <t>INVESTISSEMENTS</t>
  </si>
  <si>
    <t xml:space="preserve">Désignation </t>
  </si>
  <si>
    <t>Prix unitaire TTC</t>
  </si>
  <si>
    <t>Durée de vie (an)</t>
  </si>
  <si>
    <t>Montant Total TTC</t>
  </si>
  <si>
    <t>Amortissement annuel</t>
  </si>
  <si>
    <t>Calcul des recettes d'exploitation</t>
  </si>
  <si>
    <t>RECETTES D'EXPLOITATION</t>
  </si>
  <si>
    <t>TOTAL (F CFA)</t>
  </si>
  <si>
    <t>Ressources et Financement des investissements</t>
  </si>
  <si>
    <t>BFR (Besoin en fonds de roulement)</t>
  </si>
  <si>
    <t>Type de tiers</t>
  </si>
  <si>
    <t>Client/fournisseur</t>
  </si>
  <si>
    <t>Délais de paiement / stocks (jours)</t>
  </si>
  <si>
    <t>Part des achats/ventes</t>
  </si>
  <si>
    <t>Créances clients</t>
  </si>
  <si>
    <t>Crédit fournisseurs</t>
  </si>
  <si>
    <t>Impact Stocks consommable</t>
  </si>
  <si>
    <t>Impact Stocks produits finis</t>
  </si>
  <si>
    <t>BFR</t>
  </si>
  <si>
    <t>F CFA</t>
  </si>
  <si>
    <t>SCHÉMA DE FINANCEMENT</t>
  </si>
  <si>
    <t>ECHEANCIER DE REMBOURSEMENT</t>
  </si>
  <si>
    <t>Part</t>
  </si>
  <si>
    <t>Montant total TTC</t>
  </si>
  <si>
    <t>Année</t>
  </si>
  <si>
    <t>Capital</t>
  </si>
  <si>
    <t>Intérêts</t>
  </si>
  <si>
    <t>Reste</t>
  </si>
  <si>
    <t>Annuité</t>
  </si>
  <si>
    <t>Investissements</t>
  </si>
  <si>
    <t xml:space="preserve">Besoin en fonds de roulement </t>
  </si>
  <si>
    <t xml:space="preserve">COÛT TOTAL (F CFA) </t>
  </si>
  <si>
    <t>Apport personnel</t>
  </si>
  <si>
    <t>Subvention</t>
  </si>
  <si>
    <t>Emprunt</t>
  </si>
  <si>
    <t>Taux de l'emprunt</t>
  </si>
  <si>
    <t>Remboursement de l'emprunt (années)</t>
  </si>
  <si>
    <t>TOTAL</t>
  </si>
  <si>
    <t>RESULTAT BRUT D'EXPLOITATION (EBE)</t>
  </si>
  <si>
    <t>Désignation / Durée (années)</t>
  </si>
  <si>
    <t xml:space="preserve">Recettes  </t>
  </si>
  <si>
    <t xml:space="preserve">Dépenses </t>
  </si>
  <si>
    <t xml:space="preserve">Amortissements </t>
  </si>
  <si>
    <t>Remboursement emprunt</t>
  </si>
  <si>
    <t xml:space="preserve">Bénéfice avant impôts </t>
  </si>
  <si>
    <t xml:space="preserve">Impôts sur le bénéfice </t>
  </si>
  <si>
    <t xml:space="preserve">Bénéfice après impôts </t>
  </si>
  <si>
    <t>Trésorerie</t>
  </si>
  <si>
    <t>Cash Flows</t>
  </si>
  <si>
    <t>Cash Flows cumulés</t>
  </si>
  <si>
    <t>Indicateurs économiques</t>
  </si>
  <si>
    <t>VAN</t>
  </si>
  <si>
    <t>FCFA</t>
  </si>
  <si>
    <t>Taux d'actualisation</t>
  </si>
  <si>
    <t>Durée VAN (ans)</t>
  </si>
  <si>
    <t>calcul VAN</t>
  </si>
  <si>
    <t>TRI</t>
  </si>
  <si>
    <t>RSI</t>
  </si>
  <si>
    <t>DRCI</t>
  </si>
  <si>
    <t>DSCR</t>
  </si>
  <si>
    <t>Remboursement de prêt</t>
  </si>
  <si>
    <t>Taux annuel</t>
  </si>
  <si>
    <t>Capital emprunté</t>
  </si>
  <si>
    <t>Durée du prêt (en année)</t>
  </si>
  <si>
    <t>Mensualité à régler</t>
  </si>
  <si>
    <t>Formule mensualité</t>
  </si>
  <si>
    <t>=-VPM((1+B2)^(1/12)-1;B4*12;B3)</t>
  </si>
  <si>
    <t>Décomposition de la mensualité</t>
  </si>
  <si>
    <t>Remboursement du principal</t>
  </si>
  <si>
    <t>Formule principal</t>
  </si>
  <si>
    <t>=-PRINCPER((1+B2)^(1/12)-1;1;B4*12;B3)</t>
  </si>
  <si>
    <t>Remboursement des interêts</t>
  </si>
  <si>
    <t>Formule intérêt</t>
  </si>
  <si>
    <t>=-INTPER((1+B2)^(1/12)-1;1;B4*12;B3)</t>
  </si>
  <si>
    <t>Dans les formules ci-dessous Taux de période = TP =  (1+$B$2)^(1/12)-1</t>
  </si>
  <si>
    <t>Périodes</t>
  </si>
  <si>
    <t>Mensualité</t>
  </si>
  <si>
    <t>Reste (ou résiduel)</t>
  </si>
  <si>
    <t>Années</t>
  </si>
  <si>
    <t xml:space="preserve">Dimmensionnement optimisé </t>
  </si>
  <si>
    <t>Dimmensionnement réel</t>
  </si>
  <si>
    <t>designation</t>
  </si>
  <si>
    <t>prix</t>
  </si>
  <si>
    <t>nombre</t>
  </si>
  <si>
    <t>Equipements facultatifs</t>
  </si>
  <si>
    <t>Montant total/mois</t>
  </si>
  <si>
    <t>mensualité</t>
  </si>
  <si>
    <t>puissance equipement total majoré</t>
  </si>
  <si>
    <t>Panneaux</t>
  </si>
  <si>
    <t>Onduleur</t>
  </si>
  <si>
    <t>Accessoires</t>
  </si>
  <si>
    <t>Poste de soudure</t>
  </si>
  <si>
    <t>Meule</t>
  </si>
  <si>
    <t>Perceuse</t>
  </si>
  <si>
    <t>Etau</t>
  </si>
  <si>
    <t>Installation atelier</t>
  </si>
  <si>
    <t>Construction Bureau</t>
  </si>
  <si>
    <t xml:space="preserve"> Construction magasin de vente de pièces détaillées dans l'atelier </t>
  </si>
  <si>
    <t>Plat pour moteur</t>
  </si>
  <si>
    <t>Entretien charrue</t>
  </si>
  <si>
    <t>Révision moteur</t>
  </si>
  <si>
    <t>Entretien système hydraulique</t>
  </si>
  <si>
    <t xml:space="preserve">Vente de pièces détachées </t>
  </si>
  <si>
    <t>Autres réparations</t>
  </si>
  <si>
    <t>Soudure entretien charrue</t>
  </si>
  <si>
    <t>Soudure révision moteur</t>
  </si>
  <si>
    <t>Soudure entretien système hydraulique</t>
  </si>
  <si>
    <t>Soudure  autres réparations</t>
  </si>
  <si>
    <t>Quantité annuelle</t>
  </si>
  <si>
    <t>charges annuelles</t>
  </si>
  <si>
    <t>charges mensuelles</t>
  </si>
  <si>
    <t>Salaire</t>
  </si>
  <si>
    <t>Achat matiere premiere</t>
  </si>
  <si>
    <t>Maintenance</t>
  </si>
  <si>
    <t>location magazin, restauration</t>
  </si>
  <si>
    <t>Choix du poste</t>
  </si>
  <si>
    <t>Choix du meule</t>
  </si>
  <si>
    <t>Choix de la perceuse</t>
  </si>
  <si>
    <t xml:space="preserve">Nombre de poste </t>
  </si>
  <si>
    <t>Nombre de meule</t>
  </si>
  <si>
    <t>Nombre de perceuse</t>
  </si>
  <si>
    <t>Nb onduleurs</t>
  </si>
  <si>
    <t>Victron quatro 5 kW</t>
  </si>
  <si>
    <t xml:space="preserve">Régulateur de charge Smartsolar Victron MPPT 250/100                          </t>
  </si>
  <si>
    <t>Courant (A)</t>
  </si>
  <si>
    <t>Choix de l'onduleur</t>
  </si>
  <si>
    <t xml:space="preserve">Batteries de 12 V/185 Ah    </t>
  </si>
  <si>
    <t xml:space="preserve">Régulateur de charge Smartsolar Victron MPPT 250/100         </t>
  </si>
  <si>
    <t>Panneaux solaires de 375 W</t>
  </si>
  <si>
    <t>Equivalent Réseau</t>
  </si>
  <si>
    <t xml:space="preserve">Onduleur chargeur Victron QUATTRO         </t>
  </si>
  <si>
    <t>Ventes machines</t>
  </si>
  <si>
    <t>Production min. equipements (Nb equip/jour)</t>
  </si>
  <si>
    <t>Temps de fonctionnement (heures/jour)</t>
  </si>
  <si>
    <t>Menuiserie Métallique</t>
  </si>
  <si>
    <t xml:space="preserve">Onduleur chargeur Victron QUATTRO                           </t>
  </si>
  <si>
    <t xml:space="preserve">Construction magasin de vente de pièces détaillées dans l'atelier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</si>
</sst>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0.0000"/>
    <numFmt numFmtId="168" formatCode="_-* #,##0.00\ _€_-;\-* #,##0.00\ _€_-;_-* &quot;-&quot;\ _€_-;_-@_-"/>
    <numFmt numFmtId="169" formatCode="_-* #,##0\ _€_-;\-* #,##0\ _€_-;_-* &quot;-&quot;??\ _€_-;_-@_-"/>
    <numFmt numFmtId="170" formatCode="0.0%"/>
    <numFmt numFmtId="171" formatCode="0.000"/>
    <numFmt numFmtId="172" formatCode="_-* #,##0.000\ _€_-;\-* #,##0.000\ _€_-;_-* &quot;-&quot;\ _€_-;_-@_-"/>
    <numFmt numFmtId="173" formatCode="_-* #,##0\ _C_F_A_-;\-* #,##0\ _C_F_A_-;_-* &quot;-&quot;\ _C_F_A_-;_-@_-"/>
    <numFmt numFmtId="174" formatCode="_-* #,##0\ _€_-;\-* #,##0\ _€_-;_-* &quot;-&quot;\ _€_-;_-@"/>
  </numFmts>
  <fonts count="3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Times New Roman"/>
      <family val="1"/>
    </font>
    <font>
      <b/>
      <i/>
      <sz val="16"/>
      <color theme="0"/>
      <name val="Calibri"/>
      <family val="2"/>
      <scheme val="minor"/>
    </font>
    <font>
      <b/>
      <sz val="12"/>
      <color theme="1"/>
      <name val="Times New Roman"/>
      <family val="1"/>
    </font>
    <font>
      <b/>
      <sz val="13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2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sz val="13"/>
      <color theme="1"/>
      <name val="Times New Roman"/>
      <family val="1"/>
    </font>
    <font>
      <sz val="12"/>
      <color theme="1"/>
      <name val="Arial"/>
      <family val="2"/>
    </font>
    <font>
      <b/>
      <sz val="14"/>
      <color theme="1"/>
      <name val="Times New Roman"/>
      <family val="1"/>
    </font>
    <font>
      <b/>
      <sz val="14"/>
      <color theme="0"/>
      <name val="Calibri"/>
      <family val="2"/>
    </font>
    <font>
      <b/>
      <sz val="12"/>
      <color rgb="FF000000"/>
      <name val="Times New Roman"/>
      <family val="1"/>
    </font>
    <font>
      <sz val="12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sz val="12"/>
      <name val="Times New Roman"/>
      <family val="1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rgb="FFD6E3BC"/>
      </patternFill>
    </fill>
    <fill>
      <patternFill patternType="solid">
        <fgColor rgb="FFD6E3BC"/>
        <bgColor rgb="FFD6E3BC"/>
      </patternFill>
    </fill>
    <fill>
      <patternFill patternType="solid">
        <fgColor theme="0" tint="-0.14999847407452621"/>
        <bgColor rgb="FFD6E3BC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8DB3E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533">
    <xf numFmtId="0" fontId="0" fillId="0" borderId="0"/>
    <xf numFmtId="9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41" fontId="1" fillId="0" borderId="0" applyFont="0" applyFill="0" applyBorder="0" applyAlignment="0" applyProtection="0"/>
    <xf numFmtId="0" fontId="29" fillId="0" borderId="0"/>
    <xf numFmtId="9" fontId="29" fillId="0" borderId="0" applyFont="0" applyFill="0" applyBorder="0" applyAlignment="0" applyProtection="0"/>
    <xf numFmtId="173" fontId="29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5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2" fontId="5" fillId="3" borderId="1" xfId="0" applyNumberFormat="1" applyFont="1" applyFill="1" applyBorder="1" applyAlignment="1">
      <alignment horizontal="right" vertical="center" wrapText="1"/>
    </xf>
    <xf numFmtId="2" fontId="5" fillId="4" borderId="1" xfId="0" applyNumberFormat="1" applyFont="1" applyFill="1" applyBorder="1" applyAlignment="1">
      <alignment horizontal="right" vertical="center" wrapText="1"/>
    </xf>
    <xf numFmtId="2" fontId="5" fillId="5" borderId="1" xfId="0" applyNumberFormat="1" applyFont="1" applyFill="1" applyBorder="1" applyAlignment="1">
      <alignment horizontal="right" vertical="center" wrapText="1"/>
    </xf>
    <xf numFmtId="2" fontId="5" fillId="6" borderId="1" xfId="0" applyNumberFormat="1" applyFont="1" applyFill="1" applyBorder="1" applyAlignment="1">
      <alignment horizontal="right" vertical="center" wrapText="1"/>
    </xf>
    <xf numFmtId="0" fontId="6" fillId="7" borderId="2" xfId="0" applyFont="1" applyFill="1" applyBorder="1"/>
    <xf numFmtId="0" fontId="2" fillId="7" borderId="2" xfId="0" applyFont="1" applyFill="1" applyBorder="1"/>
    <xf numFmtId="0" fontId="5" fillId="0" borderId="7" xfId="0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right" vertical="center" wrapText="1"/>
    </xf>
    <xf numFmtId="2" fontId="5" fillId="4" borderId="7" xfId="0" applyNumberFormat="1" applyFont="1" applyFill="1" applyBorder="1" applyAlignment="1">
      <alignment horizontal="right" vertical="center" wrapText="1"/>
    </xf>
    <xf numFmtId="0" fontId="3" fillId="2" borderId="0" xfId="0" applyFont="1" applyFill="1"/>
    <xf numFmtId="9" fontId="0" fillId="4" borderId="6" xfId="0" applyNumberFormat="1" applyFill="1" applyBorder="1" applyAlignment="1">
      <alignment horizontal="left"/>
    </xf>
    <xf numFmtId="164" fontId="3" fillId="2" borderId="0" xfId="0" applyNumberFormat="1" applyFont="1" applyFill="1" applyBorder="1"/>
    <xf numFmtId="0" fontId="4" fillId="7" borderId="0" xfId="0" applyFont="1" applyFill="1"/>
    <xf numFmtId="164" fontId="2" fillId="7" borderId="0" xfId="0" applyNumberFormat="1" applyFont="1" applyFill="1" applyBorder="1"/>
    <xf numFmtId="0" fontId="6" fillId="2" borderId="0" xfId="0" applyFont="1" applyFill="1" applyBorder="1"/>
    <xf numFmtId="0" fontId="4" fillId="2" borderId="0" xfId="0" applyFont="1" applyFill="1"/>
    <xf numFmtId="164" fontId="2" fillId="2" borderId="0" xfId="0" applyNumberFormat="1" applyFont="1" applyFill="1" applyBorder="1"/>
    <xf numFmtId="0" fontId="11" fillId="8" borderId="1" xfId="0" applyFont="1" applyFill="1" applyBorder="1" applyAlignment="1">
      <alignment horizontal="justify" vertical="center"/>
    </xf>
    <xf numFmtId="9" fontId="0" fillId="4" borderId="1" xfId="0" applyNumberFormat="1" applyFill="1" applyBorder="1" applyAlignment="1">
      <alignment horizontal="right"/>
    </xf>
    <xf numFmtId="164" fontId="0" fillId="6" borderId="7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justify" vertical="center"/>
    </xf>
    <xf numFmtId="164" fontId="3" fillId="5" borderId="5" xfId="0" applyNumberFormat="1" applyFont="1" applyFill="1" applyBorder="1"/>
    <xf numFmtId="0" fontId="10" fillId="2" borderId="0" xfId="0" applyFont="1" applyFill="1"/>
    <xf numFmtId="0" fontId="0" fillId="2" borderId="0" xfId="0" applyFill="1" applyAlignment="1">
      <alignment wrapText="1"/>
    </xf>
    <xf numFmtId="0" fontId="11" fillId="8" borderId="1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2" fillId="0" borderId="6" xfId="0" applyFont="1" applyBorder="1" applyAlignment="1">
      <alignment vertical="center"/>
    </xf>
    <xf numFmtId="164" fontId="0" fillId="6" borderId="7" xfId="0" applyNumberFormat="1" applyFont="1" applyFill="1" applyBorder="1" applyAlignment="1">
      <alignment horizontal="right" vertical="center"/>
    </xf>
    <xf numFmtId="164" fontId="0" fillId="6" borderId="7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0" fillId="5" borderId="7" xfId="0" applyFont="1" applyFill="1" applyBorder="1"/>
    <xf numFmtId="164" fontId="3" fillId="6" borderId="7" xfId="0" applyNumberFormat="1" applyFont="1" applyFill="1" applyBorder="1" applyAlignment="1">
      <alignment horizontal="right" vertical="center"/>
    </xf>
    <xf numFmtId="164" fontId="14" fillId="6" borderId="7" xfId="0" applyNumberFormat="1" applyFont="1" applyFill="1" applyBorder="1" applyAlignment="1">
      <alignment horizontal="right" vertical="center"/>
    </xf>
    <xf numFmtId="0" fontId="11" fillId="8" borderId="8" xfId="0" applyFont="1" applyFill="1" applyBorder="1" applyAlignment="1">
      <alignment horizontal="justify" vertical="center" wrapText="1"/>
    </xf>
    <xf numFmtId="0" fontId="11" fillId="8" borderId="5" xfId="0" applyFont="1" applyFill="1" applyBorder="1" applyAlignment="1">
      <alignment horizontal="right" vertical="center"/>
    </xf>
    <xf numFmtId="0" fontId="12" fillId="0" borderId="1" xfId="0" applyFont="1" applyBorder="1" applyAlignment="1">
      <alignment horizontal="justify" vertical="center"/>
    </xf>
    <xf numFmtId="164" fontId="12" fillId="3" borderId="7" xfId="0" applyNumberFormat="1" applyFont="1" applyFill="1" applyBorder="1" applyAlignment="1">
      <alignment horizontal="center" vertical="center"/>
    </xf>
    <xf numFmtId="164" fontId="12" fillId="6" borderId="7" xfId="0" applyNumberFormat="1" applyFont="1" applyFill="1" applyBorder="1" applyAlignment="1">
      <alignment horizontal="right" vertical="center"/>
    </xf>
    <xf numFmtId="0" fontId="12" fillId="0" borderId="6" xfId="0" applyFont="1" applyBorder="1" applyAlignment="1">
      <alignment horizontal="justify" vertical="center"/>
    </xf>
    <xf numFmtId="0" fontId="3" fillId="0" borderId="6" xfId="0" applyFont="1" applyBorder="1" applyAlignment="1">
      <alignment horizontal="justify" vertical="center"/>
    </xf>
    <xf numFmtId="164" fontId="0" fillId="5" borderId="7" xfId="0" applyNumberFormat="1" applyFont="1" applyFill="1" applyBorder="1"/>
    <xf numFmtId="0" fontId="15" fillId="2" borderId="0" xfId="0" applyFont="1" applyFill="1" applyAlignment="1">
      <alignment vertical="center"/>
    </xf>
    <xf numFmtId="0" fontId="16" fillId="2" borderId="0" xfId="0" applyFont="1" applyFill="1" applyBorder="1" applyAlignment="1">
      <alignment vertical="center"/>
    </xf>
    <xf numFmtId="164" fontId="0" fillId="5" borderId="7" xfId="0" applyNumberFormat="1" applyFont="1" applyFill="1" applyBorder="1" applyAlignment="1">
      <alignment horizontal="center" vertical="center"/>
    </xf>
    <xf numFmtId="164" fontId="0" fillId="5" borderId="7" xfId="0" applyNumberFormat="1" applyFont="1" applyFill="1" applyBorder="1" applyAlignment="1">
      <alignment horizontal="right" vertical="center"/>
    </xf>
    <xf numFmtId="0" fontId="12" fillId="2" borderId="0" xfId="0" applyFont="1" applyFill="1" applyBorder="1" applyAlignment="1">
      <alignment vertical="center"/>
    </xf>
    <xf numFmtId="164" fontId="0" fillId="6" borderId="1" xfId="0" applyNumberFormat="1" applyFill="1" applyBorder="1" applyAlignment="1">
      <alignment horizontal="right"/>
    </xf>
    <xf numFmtId="0" fontId="17" fillId="2" borderId="0" xfId="0" applyFont="1" applyFill="1"/>
    <xf numFmtId="164" fontId="17" fillId="6" borderId="1" xfId="0" applyNumberFormat="1" applyFont="1" applyFill="1" applyBorder="1" applyAlignment="1">
      <alignment horizontal="right"/>
    </xf>
    <xf numFmtId="0" fontId="11" fillId="8" borderId="1" xfId="0" applyFont="1" applyFill="1" applyBorder="1" applyAlignment="1">
      <alignment horizontal="justify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5" borderId="7" xfId="0" applyFont="1" applyFill="1" applyBorder="1" applyAlignment="1">
      <alignment horizontal="justify" vertical="center" wrapText="1"/>
    </xf>
    <xf numFmtId="0" fontId="3" fillId="6" borderId="6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justify" vertical="center"/>
    </xf>
    <xf numFmtId="164" fontId="12" fillId="6" borderId="6" xfId="0" applyNumberFormat="1" applyFont="1" applyFill="1" applyBorder="1" applyAlignment="1">
      <alignment horizontal="right" vertical="center"/>
    </xf>
    <xf numFmtId="0" fontId="3" fillId="5" borderId="6" xfId="0" applyFont="1" applyFill="1" applyBorder="1" applyAlignment="1">
      <alignment horizontal="justify" vertical="center"/>
    </xf>
    <xf numFmtId="164" fontId="3" fillId="6" borderId="6" xfId="0" applyNumberFormat="1" applyFont="1" applyFill="1" applyBorder="1" applyAlignment="1">
      <alignment horizontal="right" vertical="center"/>
    </xf>
    <xf numFmtId="0" fontId="0" fillId="0" borderId="9" xfId="0" applyFont="1" applyBorder="1" applyAlignment="1">
      <alignment horizontal="justify" vertical="center"/>
    </xf>
    <xf numFmtId="164" fontId="0" fillId="6" borderId="5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justify" vertical="center"/>
    </xf>
    <xf numFmtId="0" fontId="0" fillId="7" borderId="0" xfId="0" applyFill="1"/>
    <xf numFmtId="0" fontId="14" fillId="8" borderId="1" xfId="0" applyFont="1" applyFill="1" applyBorder="1" applyAlignment="1">
      <alignment horizontal="justify" vertical="center"/>
    </xf>
    <xf numFmtId="0" fontId="13" fillId="0" borderId="6" xfId="0" applyFont="1" applyBorder="1" applyAlignment="1">
      <alignment horizontal="justify" vertical="center"/>
    </xf>
    <xf numFmtId="0" fontId="14" fillId="0" borderId="6" xfId="0" applyFont="1" applyBorder="1" applyAlignment="1">
      <alignment horizontal="justify" vertical="center"/>
    </xf>
    <xf numFmtId="0" fontId="0" fillId="0" borderId="10" xfId="0" applyBorder="1"/>
    <xf numFmtId="10" fontId="0" fillId="0" borderId="10" xfId="1" applyNumberFormat="1" applyFont="1" applyBorder="1"/>
    <xf numFmtId="164" fontId="0" fillId="0" borderId="10" xfId="0" applyNumberFormat="1" applyBorder="1"/>
    <xf numFmtId="0" fontId="0" fillId="5" borderId="10" xfId="0" applyFill="1" applyBorder="1"/>
    <xf numFmtId="164" fontId="0" fillId="5" borderId="10" xfId="0" applyNumberFormat="1" applyFill="1" applyBorder="1"/>
    <xf numFmtId="49" fontId="18" fillId="0" borderId="10" xfId="0" applyNumberFormat="1" applyFont="1" applyBorder="1"/>
    <xf numFmtId="0" fontId="0" fillId="0" borderId="0" xfId="0" applyBorder="1"/>
    <xf numFmtId="0" fontId="18" fillId="0" borderId="0" xfId="0" applyFont="1"/>
    <xf numFmtId="49" fontId="18" fillId="0" borderId="11" xfId="0" applyNumberFormat="1" applyFont="1" applyBorder="1"/>
    <xf numFmtId="0" fontId="0" fillId="0" borderId="12" xfId="0" applyBorder="1"/>
    <xf numFmtId="49" fontId="19" fillId="9" borderId="0" xfId="0" applyNumberFormat="1" applyFont="1" applyFill="1"/>
    <xf numFmtId="0" fontId="19" fillId="9" borderId="0" xfId="0" applyFont="1" applyFill="1"/>
    <xf numFmtId="0" fontId="0" fillId="9" borderId="0" xfId="0" applyFill="1"/>
    <xf numFmtId="0" fontId="20" fillId="5" borderId="0" xfId="0" applyFont="1" applyFill="1" applyAlignment="1">
      <alignment horizontal="center"/>
    </xf>
    <xf numFmtId="164" fontId="0" fillId="0" borderId="0" xfId="0" applyNumberFormat="1"/>
    <xf numFmtId="169" fontId="0" fillId="0" borderId="0" xfId="0" applyNumberFormat="1"/>
    <xf numFmtId="0" fontId="14" fillId="8" borderId="5" xfId="0" applyFont="1" applyFill="1" applyBorder="1" applyAlignment="1">
      <alignment horizontal="center" vertical="center"/>
    </xf>
    <xf numFmtId="9" fontId="0" fillId="2" borderId="0" xfId="0" applyNumberFormat="1" applyFill="1"/>
    <xf numFmtId="0" fontId="23" fillId="2" borderId="0" xfId="0" applyFont="1" applyFill="1" applyAlignment="1">
      <alignment horizontal="right"/>
    </xf>
    <xf numFmtId="0" fontId="25" fillId="2" borderId="0" xfId="0" applyFont="1" applyFill="1" applyAlignment="1">
      <alignment horizontal="right"/>
    </xf>
    <xf numFmtId="164" fontId="14" fillId="6" borderId="7" xfId="0" applyNumberFormat="1" applyFont="1" applyFill="1" applyBorder="1" applyAlignment="1">
      <alignment vertical="center"/>
    </xf>
    <xf numFmtId="164" fontId="13" fillId="6" borderId="7" xfId="0" applyNumberFormat="1" applyFont="1" applyFill="1" applyBorder="1" applyAlignment="1">
      <alignment horizontal="right" vertical="center"/>
    </xf>
    <xf numFmtId="0" fontId="0" fillId="2" borderId="0" xfId="0" applyFont="1" applyFill="1"/>
    <xf numFmtId="164" fontId="13" fillId="6" borderId="7" xfId="0" applyNumberFormat="1" applyFont="1" applyFill="1" applyBorder="1" applyAlignment="1">
      <alignment vertical="center"/>
    </xf>
    <xf numFmtId="38" fontId="25" fillId="6" borderId="1" xfId="0" applyNumberFormat="1" applyFont="1" applyFill="1" applyBorder="1" applyAlignment="1">
      <alignment horizontal="right"/>
    </xf>
    <xf numFmtId="170" fontId="25" fillId="6" borderId="1" xfId="0" applyNumberFormat="1" applyFont="1" applyFill="1" applyBorder="1" applyAlignment="1">
      <alignment horizontal="right"/>
    </xf>
    <xf numFmtId="165" fontId="25" fillId="6" borderId="1" xfId="0" applyNumberFormat="1" applyFont="1" applyFill="1" applyBorder="1" applyAlignment="1">
      <alignment horizontal="right"/>
    </xf>
    <xf numFmtId="9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164" fontId="0" fillId="4" borderId="7" xfId="0" applyNumberFormat="1" applyFont="1" applyFill="1" applyBorder="1" applyAlignment="1">
      <alignment horizontal="center" vertical="center"/>
    </xf>
    <xf numFmtId="164" fontId="0" fillId="4" borderId="7" xfId="0" applyNumberFormat="1" applyFont="1" applyFill="1" applyBorder="1" applyAlignment="1">
      <alignment horizontal="right" vertical="center"/>
    </xf>
    <xf numFmtId="2" fontId="8" fillId="4" borderId="7" xfId="0" applyNumberFormat="1" applyFont="1" applyFill="1" applyBorder="1" applyAlignment="1">
      <alignment horizontal="right" vertical="center" wrapText="1"/>
    </xf>
    <xf numFmtId="167" fontId="8" fillId="4" borderId="7" xfId="0" applyNumberFormat="1" applyFont="1" applyFill="1" applyBorder="1" applyAlignment="1">
      <alignment horizontal="right" vertical="center" wrapText="1"/>
    </xf>
    <xf numFmtId="164" fontId="9" fillId="4" borderId="7" xfId="0" applyNumberFormat="1" applyFont="1" applyFill="1" applyBorder="1" applyAlignment="1">
      <alignment horizontal="right" vertical="center" wrapText="1"/>
    </xf>
    <xf numFmtId="164" fontId="8" fillId="4" borderId="7" xfId="0" applyNumberFormat="1" applyFont="1" applyFill="1" applyBorder="1" applyAlignment="1">
      <alignment horizontal="right" vertical="center" wrapText="1"/>
    </xf>
    <xf numFmtId="9" fontId="0" fillId="4" borderId="7" xfId="0" applyNumberFormat="1" applyFont="1" applyFill="1" applyBorder="1" applyAlignment="1">
      <alignment horizontal="right" vertical="center"/>
    </xf>
    <xf numFmtId="164" fontId="0" fillId="0" borderId="7" xfId="0" applyNumberFormat="1" applyFont="1" applyFill="1" applyBorder="1" applyAlignment="1">
      <alignment horizontal="center" vertical="center"/>
    </xf>
    <xf numFmtId="10" fontId="3" fillId="4" borderId="5" xfId="0" applyNumberFormat="1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9" fontId="0" fillId="4" borderId="6" xfId="0" applyNumberFormat="1" applyFont="1" applyFill="1" applyBorder="1" applyAlignment="1">
      <alignment horizontal="right" vertical="center"/>
    </xf>
    <xf numFmtId="0" fontId="0" fillId="3" borderId="1" xfId="0" applyNumberFormat="1" applyFont="1" applyFill="1" applyBorder="1" applyAlignment="1">
      <alignment horizontal="left"/>
    </xf>
    <xf numFmtId="168" fontId="25" fillId="6" borderId="1" xfId="0" applyNumberFormat="1" applyFont="1" applyFill="1" applyBorder="1" applyAlignment="1">
      <alignment horizontal="right"/>
    </xf>
    <xf numFmtId="0" fontId="0" fillId="2" borderId="2" xfId="0" applyFill="1" applyBorder="1"/>
    <xf numFmtId="0" fontId="26" fillId="2" borderId="0" xfId="0" applyFont="1" applyFill="1"/>
    <xf numFmtId="0" fontId="27" fillId="2" borderId="2" xfId="0" applyFont="1" applyFill="1" applyBorder="1"/>
    <xf numFmtId="0" fontId="0" fillId="2" borderId="0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7" xfId="0" applyFill="1" applyBorder="1"/>
    <xf numFmtId="0" fontId="0" fillId="2" borderId="13" xfId="0" applyFill="1" applyBorder="1" applyAlignment="1">
      <alignment horizontal="left"/>
    </xf>
    <xf numFmtId="0" fontId="0" fillId="0" borderId="0" xfId="0" applyFill="1"/>
    <xf numFmtId="0" fontId="25" fillId="2" borderId="0" xfId="0" applyFont="1" applyFill="1" applyAlignment="1">
      <alignment vertical="top"/>
    </xf>
    <xf numFmtId="0" fontId="25" fillId="2" borderId="0" xfId="0" applyFont="1" applyFill="1"/>
    <xf numFmtId="0" fontId="7" fillId="5" borderId="1" xfId="0" applyFont="1" applyFill="1" applyBorder="1" applyAlignment="1">
      <alignment horizontal="center" vertical="center" wrapText="1"/>
    </xf>
    <xf numFmtId="171" fontId="8" fillId="4" borderId="7" xfId="0" applyNumberFormat="1" applyFont="1" applyFill="1" applyBorder="1" applyAlignment="1">
      <alignment horizontal="right" vertical="center" wrapText="1"/>
    </xf>
    <xf numFmtId="168" fontId="8" fillId="4" borderId="7" xfId="0" applyNumberFormat="1" applyFont="1" applyFill="1" applyBorder="1" applyAlignment="1">
      <alignment horizontal="right" vertical="center" wrapText="1"/>
    </xf>
    <xf numFmtId="1" fontId="8" fillId="4" borderId="7" xfId="0" applyNumberFormat="1" applyFont="1" applyFill="1" applyBorder="1" applyAlignment="1">
      <alignment horizontal="right" vertical="center" wrapText="1"/>
    </xf>
    <xf numFmtId="168" fontId="9" fillId="4" borderId="7" xfId="0" applyNumberFormat="1" applyFont="1" applyFill="1" applyBorder="1" applyAlignment="1">
      <alignment horizontal="right" vertical="center" wrapText="1"/>
    </xf>
    <xf numFmtId="2" fontId="0" fillId="4" borderId="4" xfId="0" applyNumberFormat="1" applyFill="1" applyBorder="1" applyAlignment="1"/>
    <xf numFmtId="0" fontId="0" fillId="4" borderId="5" xfId="0" applyFill="1" applyBorder="1" applyAlignment="1"/>
    <xf numFmtId="0" fontId="0" fillId="2" borderId="16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4" borderId="5" xfId="0" applyFill="1" applyBorder="1" applyAlignment="1">
      <alignment horizontal="center"/>
    </xf>
    <xf numFmtId="1" fontId="5" fillId="5" borderId="7" xfId="0" applyNumberFormat="1" applyFont="1" applyFill="1" applyBorder="1" applyAlignment="1">
      <alignment horizontal="right" vertical="center" wrapText="1"/>
    </xf>
    <xf numFmtId="164" fontId="0" fillId="6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4" borderId="0" xfId="0" applyFill="1" applyAlignment="1">
      <alignment horizontal="right"/>
    </xf>
    <xf numFmtId="0" fontId="10" fillId="4" borderId="0" xfId="0" applyFont="1" applyFill="1"/>
    <xf numFmtId="1" fontId="0" fillId="6" borderId="4" xfId="0" applyNumberFormat="1" applyFill="1" applyBorder="1" applyAlignment="1">
      <alignment horizontal="left"/>
    </xf>
    <xf numFmtId="1" fontId="0" fillId="4" borderId="4" xfId="0" applyNumberFormat="1" applyFill="1" applyBorder="1" applyAlignment="1">
      <alignment horizontal="left"/>
    </xf>
    <xf numFmtId="2" fontId="0" fillId="6" borderId="5" xfId="0" applyNumberFormat="1" applyFill="1" applyBorder="1" applyAlignment="1"/>
    <xf numFmtId="9" fontId="0" fillId="2" borderId="0" xfId="0" applyNumberFormat="1" applyFont="1" applyFill="1" applyBorder="1" applyAlignment="1">
      <alignment horizontal="right"/>
    </xf>
    <xf numFmtId="9" fontId="0" fillId="2" borderId="0" xfId="0" applyNumberFormat="1" applyFill="1" applyAlignment="1">
      <alignment wrapText="1"/>
    </xf>
    <xf numFmtId="2" fontId="0" fillId="2" borderId="0" xfId="0" applyNumberFormat="1" applyFill="1"/>
    <xf numFmtId="0" fontId="18" fillId="2" borderId="0" xfId="0" applyFont="1" applyFill="1"/>
    <xf numFmtId="9" fontId="0" fillId="4" borderId="4" xfId="0" applyNumberFormat="1" applyFill="1" applyBorder="1" applyAlignment="1">
      <alignment horizontal="left"/>
    </xf>
    <xf numFmtId="2" fontId="0" fillId="4" borderId="5" xfId="0" applyNumberFormat="1" applyFill="1" applyBorder="1" applyAlignment="1">
      <alignment horizontal="left"/>
    </xf>
    <xf numFmtId="0" fontId="13" fillId="6" borderId="5" xfId="0" applyFont="1" applyFill="1" applyBorder="1" applyAlignment="1"/>
    <xf numFmtId="0" fontId="0" fillId="6" borderId="5" xfId="0" applyFill="1" applyBorder="1" applyAlignment="1"/>
    <xf numFmtId="0" fontId="10" fillId="2" borderId="0" xfId="0" applyFont="1" applyFill="1" applyAlignment="1">
      <alignment horizontal="right"/>
    </xf>
    <xf numFmtId="0" fontId="4" fillId="0" borderId="13" xfId="0" applyFont="1" applyFill="1" applyBorder="1" applyAlignment="1"/>
    <xf numFmtId="0" fontId="13" fillId="4" borderId="5" xfId="0" applyFont="1" applyFill="1" applyBorder="1" applyAlignment="1"/>
    <xf numFmtId="2" fontId="8" fillId="3" borderId="7" xfId="0" applyNumberFormat="1" applyFont="1" applyFill="1" applyBorder="1" applyAlignment="1">
      <alignment horizontal="right" vertical="center" wrapText="1"/>
    </xf>
    <xf numFmtId="166" fontId="8" fillId="3" borderId="7" xfId="0" applyNumberFormat="1" applyFont="1" applyFill="1" applyBorder="1" applyAlignment="1">
      <alignment horizontal="right" vertical="center" wrapText="1"/>
    </xf>
    <xf numFmtId="164" fontId="0" fillId="2" borderId="0" xfId="0" applyNumberFormat="1" applyFill="1"/>
    <xf numFmtId="0" fontId="10" fillId="2" borderId="0" xfId="0" applyFont="1" applyFill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0" fontId="0" fillId="2" borderId="0" xfId="0" quotePrefix="1" applyFill="1"/>
    <xf numFmtId="0" fontId="11" fillId="8" borderId="5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0" fontId="11" fillId="8" borderId="5" xfId="0" applyFont="1" applyFill="1" applyBorder="1" applyAlignment="1">
      <alignment horizontal="center" vertical="center"/>
    </xf>
    <xf numFmtId="2" fontId="0" fillId="6" borderId="4" xfId="0" applyNumberFormat="1" applyFill="1" applyBorder="1" applyAlignment="1">
      <alignment horizontal="left"/>
    </xf>
    <xf numFmtId="172" fontId="0" fillId="2" borderId="0" xfId="0" applyNumberFormat="1" applyFill="1"/>
    <xf numFmtId="0" fontId="29" fillId="0" borderId="0" xfId="529"/>
    <xf numFmtId="0" fontId="30" fillId="0" borderId="10" xfId="529" applyFont="1" applyBorder="1"/>
    <xf numFmtId="173" fontId="30" fillId="0" borderId="10" xfId="531" applyFont="1" applyBorder="1" applyAlignment="1">
      <alignment vertical="top"/>
    </xf>
    <xf numFmtId="173" fontId="30" fillId="0" borderId="10" xfId="531" applyFont="1" applyBorder="1" applyAlignment="1"/>
    <xf numFmtId="164" fontId="0" fillId="2" borderId="10" xfId="0" applyNumberFormat="1" applyFill="1" applyBorder="1"/>
    <xf numFmtId="0" fontId="31" fillId="12" borderId="1" xfId="0" applyFont="1" applyFill="1" applyBorder="1"/>
    <xf numFmtId="0" fontId="31" fillId="13" borderId="13" xfId="0" applyFont="1" applyFill="1" applyBorder="1"/>
    <xf numFmtId="0" fontId="31" fillId="13" borderId="0" xfId="0" applyFont="1" applyFill="1"/>
    <xf numFmtId="0" fontId="0" fillId="2" borderId="1" xfId="0" applyFill="1" applyBorder="1"/>
    <xf numFmtId="0" fontId="3" fillId="14" borderId="1" xfId="0" applyFont="1" applyFill="1" applyBorder="1"/>
    <xf numFmtId="41" fontId="0" fillId="2" borderId="1" xfId="528" applyFont="1" applyFill="1" applyBorder="1"/>
    <xf numFmtId="171" fontId="7" fillId="5" borderId="7" xfId="0" applyNumberFormat="1" applyFont="1" applyFill="1" applyBorder="1" applyAlignment="1">
      <alignment horizontal="right" vertical="center" wrapText="1"/>
    </xf>
    <xf numFmtId="164" fontId="32" fillId="4" borderId="7" xfId="0" applyNumberFormat="1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/>
    </xf>
    <xf numFmtId="0" fontId="0" fillId="4" borderId="1" xfId="0" applyFill="1" applyBorder="1" applyAlignment="1"/>
    <xf numFmtId="164" fontId="33" fillId="2" borderId="0" xfId="0" applyNumberFormat="1" applyFont="1" applyFill="1"/>
    <xf numFmtId="2" fontId="8" fillId="3" borderId="1" xfId="0" applyNumberFormat="1" applyFont="1" applyFill="1" applyBorder="1" applyAlignment="1">
      <alignment horizontal="right" vertical="center" wrapText="1"/>
    </xf>
    <xf numFmtId="169" fontId="30" fillId="0" borderId="1" xfId="532" applyNumberFormat="1" applyFont="1" applyFill="1" applyBorder="1" applyAlignment="1">
      <alignment horizontal="right" vertical="center" wrapText="1"/>
    </xf>
    <xf numFmtId="0" fontId="0" fillId="4" borderId="4" xfId="0" applyFill="1" applyBorder="1" applyAlignment="1"/>
    <xf numFmtId="2" fontId="0" fillId="4" borderId="5" xfId="0" applyNumberFormat="1" applyFill="1" applyBorder="1" applyAlignment="1"/>
    <xf numFmtId="164" fontId="0" fillId="4" borderId="1" xfId="0" applyNumberFormat="1" applyFont="1" applyFill="1" applyBorder="1" applyAlignment="1">
      <alignment horizontal="right" vertical="center"/>
    </xf>
    <xf numFmtId="2" fontId="7" fillId="4" borderId="7" xfId="0" applyNumberFormat="1" applyFont="1" applyFill="1" applyBorder="1" applyAlignment="1">
      <alignment horizontal="right" vertical="center" wrapText="1"/>
    </xf>
    <xf numFmtId="169" fontId="7" fillId="15" borderId="10" xfId="532" applyNumberFormat="1" applyFont="1" applyFill="1" applyBorder="1" applyAlignment="1">
      <alignment horizontal="right" vertical="center" wrapText="1"/>
    </xf>
    <xf numFmtId="2" fontId="28" fillId="4" borderId="7" xfId="0" applyNumberFormat="1" applyFont="1" applyFill="1" applyBorder="1" applyAlignment="1">
      <alignment horizontal="right" vertical="center" wrapText="1"/>
    </xf>
    <xf numFmtId="164" fontId="28" fillId="4" borderId="7" xfId="0" applyNumberFormat="1" applyFont="1" applyFill="1" applyBorder="1" applyAlignment="1">
      <alignment horizontal="right" vertical="center" wrapText="1"/>
    </xf>
    <xf numFmtId="174" fontId="8" fillId="16" borderId="21" xfId="0" applyNumberFormat="1" applyFont="1" applyFill="1" applyBorder="1" applyAlignment="1">
      <alignment horizontal="right" vertical="center" wrapText="1"/>
    </xf>
    <xf numFmtId="166" fontId="7" fillId="0" borderId="1" xfId="0" applyNumberFormat="1" applyFont="1" applyBorder="1" applyAlignment="1">
      <alignment horizontal="right" vertical="center" wrapText="1"/>
    </xf>
    <xf numFmtId="1" fontId="7" fillId="5" borderId="7" xfId="0" applyNumberFormat="1" applyFont="1" applyFill="1" applyBorder="1" applyAlignment="1">
      <alignment horizontal="right" vertical="center" wrapText="1"/>
    </xf>
    <xf numFmtId="0" fontId="5" fillId="4" borderId="1" xfId="529" applyFont="1" applyFill="1" applyBorder="1"/>
    <xf numFmtId="0" fontId="29" fillId="4" borderId="1" xfId="529" applyFill="1" applyBorder="1"/>
    <xf numFmtId="0" fontId="13" fillId="0" borderId="1" xfId="0" applyFont="1" applyFill="1" applyBorder="1" applyAlignment="1">
      <alignment horizontal="justify" vertical="center"/>
    </xf>
    <xf numFmtId="164" fontId="13" fillId="4" borderId="5" xfId="0" applyNumberFormat="1" applyFont="1" applyFill="1" applyBorder="1" applyAlignment="1">
      <alignment horizontal="center" vertical="center"/>
    </xf>
    <xf numFmtId="164" fontId="3" fillId="5" borderId="7" xfId="0" applyNumberFormat="1" applyFont="1" applyFill="1" applyBorder="1" applyAlignment="1">
      <alignment horizontal="right" vertical="center"/>
    </xf>
    <xf numFmtId="164" fontId="14" fillId="5" borderId="15" xfId="0" applyNumberFormat="1" applyFont="1" applyFill="1" applyBorder="1" applyAlignment="1">
      <alignment horizontal="right" vertical="center"/>
    </xf>
    <xf numFmtId="0" fontId="35" fillId="11" borderId="10" xfId="529" applyFont="1" applyFill="1" applyBorder="1" applyAlignment="1">
      <alignment wrapText="1"/>
    </xf>
    <xf numFmtId="0" fontId="35" fillId="11" borderId="10" xfId="529" applyFont="1" applyFill="1" applyBorder="1"/>
    <xf numFmtId="0" fontId="29" fillId="0" borderId="17" xfId="529" applyFont="1" applyFill="1" applyBorder="1"/>
    <xf numFmtId="0" fontId="29" fillId="0" borderId="1" xfId="529" applyFont="1" applyFill="1" applyBorder="1"/>
    <xf numFmtId="0" fontId="29" fillId="0" borderId="18" xfId="529" applyFont="1" applyFill="1" applyBorder="1"/>
    <xf numFmtId="0" fontId="29" fillId="0" borderId="10" xfId="529" applyFont="1" applyFill="1" applyBorder="1"/>
    <xf numFmtId="0" fontId="36" fillId="0" borderId="6" xfId="0" applyFont="1" applyFill="1" applyBorder="1" applyAlignment="1">
      <alignment vertical="center"/>
    </xf>
    <xf numFmtId="169" fontId="29" fillId="0" borderId="10" xfId="532" applyNumberFormat="1" applyFont="1" applyFill="1" applyBorder="1" applyAlignment="1">
      <alignment horizontal="right" vertical="center" wrapText="1"/>
    </xf>
    <xf numFmtId="169" fontId="29" fillId="0" borderId="19" xfId="532" applyNumberFormat="1" applyFont="1" applyFill="1" applyBorder="1" applyAlignment="1">
      <alignment wrapText="1"/>
    </xf>
    <xf numFmtId="0" fontId="29" fillId="0" borderId="10" xfId="529" applyNumberFormat="1" applyFont="1" applyFill="1" applyBorder="1"/>
    <xf numFmtId="0" fontId="29" fillId="0" borderId="18" xfId="529" applyFont="1" applyFill="1" applyBorder="1" applyAlignment="1">
      <alignment vertical="center"/>
    </xf>
    <xf numFmtId="169" fontId="29" fillId="0" borderId="19" xfId="532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horizontal="right" vertical="center"/>
    </xf>
    <xf numFmtId="3" fontId="0" fillId="2" borderId="1" xfId="0" applyNumberFormat="1" applyFill="1" applyBorder="1"/>
    <xf numFmtId="169" fontId="34" fillId="4" borderId="1" xfId="532" applyNumberFormat="1" applyFont="1" applyFill="1" applyBorder="1"/>
    <xf numFmtId="164" fontId="13" fillId="4" borderId="1" xfId="0" applyNumberFormat="1" applyFont="1" applyFill="1" applyBorder="1" applyAlignment="1">
      <alignment horizontal="center" vertical="center"/>
    </xf>
    <xf numFmtId="0" fontId="24" fillId="2" borderId="0" xfId="0" applyFont="1" applyFill="1" applyBorder="1"/>
    <xf numFmtId="0" fontId="24" fillId="10" borderId="0" xfId="0" applyFont="1" applyFill="1" applyBorder="1"/>
    <xf numFmtId="164" fontId="0" fillId="4" borderId="5" xfId="0" applyNumberFormat="1" applyFont="1" applyFill="1" applyBorder="1" applyAlignment="1">
      <alignment horizontal="center" vertical="center"/>
    </xf>
    <xf numFmtId="164" fontId="24" fillId="10" borderId="0" xfId="0" applyNumberFormat="1" applyFont="1" applyFill="1" applyBorder="1"/>
    <xf numFmtId="165" fontId="24" fillId="10" borderId="0" xfId="0" applyNumberFormat="1" applyFont="1" applyFill="1" applyBorder="1"/>
    <xf numFmtId="2" fontId="37" fillId="3" borderId="1" xfId="0" applyNumberFormat="1" applyFont="1" applyFill="1" applyBorder="1" applyAlignment="1">
      <alignment horizontal="right" vertical="center" wrapText="1"/>
    </xf>
    <xf numFmtId="2" fontId="37" fillId="3" borderId="7" xfId="0" applyNumberFormat="1" applyFont="1" applyFill="1" applyBorder="1" applyAlignment="1">
      <alignment horizontal="right" vertical="center" wrapText="1"/>
    </xf>
    <xf numFmtId="166" fontId="8" fillId="4" borderId="7" xfId="0" applyNumberFormat="1" applyFont="1" applyFill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6" fontId="8" fillId="0" borderId="20" xfId="0" applyNumberFormat="1" applyFont="1" applyBorder="1" applyAlignment="1">
      <alignment horizontal="right" vertical="center" wrapText="1"/>
    </xf>
    <xf numFmtId="1" fontId="8" fillId="17" borderId="21" xfId="0" applyNumberFormat="1" applyFont="1" applyFill="1" applyBorder="1" applyAlignment="1">
      <alignment horizontal="right" vertical="center" wrapText="1"/>
    </xf>
    <xf numFmtId="169" fontId="5" fillId="0" borderId="1" xfId="532" applyNumberFormat="1" applyFont="1" applyFill="1" applyBorder="1" applyAlignment="1">
      <alignment horizontal="left" vertical="center" wrapText="1"/>
    </xf>
    <xf numFmtId="169" fontId="5" fillId="0" borderId="1" xfId="532" applyNumberFormat="1" applyFont="1" applyFill="1" applyBorder="1" applyAlignment="1">
      <alignment vertical="center" wrapText="1"/>
    </xf>
    <xf numFmtId="0" fontId="37" fillId="0" borderId="1" xfId="0" applyFont="1" applyFill="1" applyBorder="1" applyAlignment="1">
      <alignment vertical="center"/>
    </xf>
    <xf numFmtId="164" fontId="0" fillId="5" borderId="4" xfId="0" applyNumberFormat="1" applyFont="1" applyFill="1" applyBorder="1" applyAlignment="1">
      <alignment horizontal="center"/>
    </xf>
    <xf numFmtId="164" fontId="0" fillId="5" borderId="5" xfId="0" applyNumberFormat="1" applyFont="1" applyFill="1" applyBorder="1" applyAlignment="1">
      <alignment horizontal="center"/>
    </xf>
    <xf numFmtId="169" fontId="34" fillId="4" borderId="1" xfId="532" applyNumberFormat="1" applyFont="1" applyFill="1" applyBorder="1" applyAlignment="1">
      <alignment horizontal="center"/>
    </xf>
    <xf numFmtId="164" fontId="0" fillId="4" borderId="1" xfId="0" applyNumberFormat="1" applyFont="1" applyFill="1" applyBorder="1" applyAlignment="1">
      <alignment horizontal="center" vertical="center"/>
    </xf>
    <xf numFmtId="164" fontId="0" fillId="4" borderId="4" xfId="0" applyNumberFormat="1" applyFont="1" applyFill="1" applyBorder="1" applyAlignment="1">
      <alignment horizontal="center" vertical="center"/>
    </xf>
    <xf numFmtId="164" fontId="0" fillId="4" borderId="5" xfId="0" applyNumberFormat="1" applyFont="1" applyFill="1" applyBorder="1" applyAlignment="1">
      <alignment horizontal="center" vertical="center"/>
    </xf>
    <xf numFmtId="164" fontId="12" fillId="6" borderId="4" xfId="0" applyNumberFormat="1" applyFont="1" applyFill="1" applyBorder="1" applyAlignment="1">
      <alignment horizontal="center" vertical="center"/>
    </xf>
    <xf numFmtId="164" fontId="12" fillId="6" borderId="5" xfId="0" applyNumberFormat="1" applyFont="1" applyFill="1" applyBorder="1" applyAlignment="1">
      <alignment horizontal="center" vertical="center"/>
    </xf>
    <xf numFmtId="0" fontId="11" fillId="8" borderId="4" xfId="0" applyFont="1" applyFill="1" applyBorder="1" applyAlignment="1">
      <alignment horizontal="center" vertical="center" wrapText="1"/>
    </xf>
    <xf numFmtId="0" fontId="11" fillId="8" borderId="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64" fontId="3" fillId="5" borderId="4" xfId="0" applyNumberFormat="1" applyFont="1" applyFill="1" applyBorder="1" applyAlignment="1">
      <alignment horizontal="center"/>
    </xf>
    <xf numFmtId="164" fontId="3" fillId="5" borderId="5" xfId="0" applyNumberFormat="1" applyFont="1" applyFill="1" applyBorder="1" applyAlignment="1">
      <alignment horizontal="center"/>
    </xf>
    <xf numFmtId="0" fontId="0" fillId="4" borderId="4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2" fontId="0" fillId="6" borderId="4" xfId="0" applyNumberFormat="1" applyFill="1" applyBorder="1" applyAlignment="1">
      <alignment horizontal="left"/>
    </xf>
    <xf numFmtId="2" fontId="0" fillId="6" borderId="5" xfId="0" applyNumberFormat="1" applyFill="1" applyBorder="1" applyAlignment="1">
      <alignment horizontal="left"/>
    </xf>
    <xf numFmtId="0" fontId="7" fillId="5" borderId="3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/>
    </xf>
    <xf numFmtId="0" fontId="11" fillId="8" borderId="5" xfId="0" applyFont="1" applyFill="1" applyBorder="1" applyAlignment="1">
      <alignment horizontal="center" vertical="center"/>
    </xf>
  </cellXfs>
  <cellStyles count="533">
    <cellStyle name="Lien hypertexte" xfId="24" builtinId="8" hidden="1"/>
    <cellStyle name="Lien hypertexte" xfId="44" builtinId="8" hidden="1"/>
    <cellStyle name="Lien hypertexte" xfId="62" builtinId="8" hidden="1"/>
    <cellStyle name="Lien hypertexte" xfId="16" builtinId="8" hidden="1"/>
    <cellStyle name="Lien hypertexte" xfId="2" builtinId="8" hidden="1"/>
    <cellStyle name="Lien hypertexte" xfId="12" builtinId="8" hidden="1"/>
    <cellStyle name="Lien hypertexte" xfId="64" builtinId="8" hidden="1"/>
    <cellStyle name="Lien hypertexte" xfId="42" builtinId="8" hidden="1"/>
    <cellStyle name="Lien hypertexte" xfId="66" builtinId="8" hidden="1"/>
    <cellStyle name="Lien hypertexte" xfId="98" builtinId="8" hidden="1"/>
    <cellStyle name="Lien hypertexte" xfId="130" builtinId="8" hidden="1"/>
    <cellStyle name="Lien hypertexte" xfId="162" builtinId="8" hidden="1"/>
    <cellStyle name="Lien hypertexte" xfId="194" builtinId="8" hidden="1"/>
    <cellStyle name="Lien hypertexte" xfId="226" builtinId="8" hidden="1"/>
    <cellStyle name="Lien hypertexte" xfId="258" builtinId="8" hidden="1"/>
    <cellStyle name="Lien hypertexte" xfId="290" builtinId="8" hidden="1"/>
    <cellStyle name="Lien hypertexte" xfId="322" builtinId="8" hidden="1"/>
    <cellStyle name="Lien hypertexte" xfId="354" builtinId="8" hidden="1"/>
    <cellStyle name="Lien hypertexte" xfId="386" builtinId="8" hidden="1"/>
    <cellStyle name="Lien hypertexte" xfId="418" builtinId="8" hidden="1"/>
    <cellStyle name="Lien hypertexte" xfId="450" builtinId="8" hidden="1"/>
    <cellStyle name="Lien hypertexte" xfId="482" builtinId="8" hidden="1"/>
    <cellStyle name="Lien hypertexte" xfId="514" builtinId="8" hidden="1"/>
    <cellStyle name="Lien hypertexte" xfId="508" builtinId="8" hidden="1"/>
    <cellStyle name="Lien hypertexte" xfId="476" builtinId="8" hidden="1"/>
    <cellStyle name="Lien hypertexte" xfId="444" builtinId="8" hidden="1"/>
    <cellStyle name="Lien hypertexte" xfId="412" builtinId="8" hidden="1"/>
    <cellStyle name="Lien hypertexte" xfId="380" builtinId="8" hidden="1"/>
    <cellStyle name="Lien hypertexte" xfId="348" builtinId="8" hidden="1"/>
    <cellStyle name="Lien hypertexte" xfId="316" builtinId="8" hidden="1"/>
    <cellStyle name="Lien hypertexte" xfId="284" builtinId="8" hidden="1"/>
    <cellStyle name="Lien hypertexte" xfId="252" builtinId="8" hidden="1"/>
    <cellStyle name="Lien hypertexte" xfId="220" builtinId="8" hidden="1"/>
    <cellStyle name="Lien hypertexte" xfId="112" builtinId="8" hidden="1"/>
    <cellStyle name="Lien hypertexte" xfId="132" builtinId="8" hidden="1"/>
    <cellStyle name="Lien hypertexte" xfId="152" builtinId="8" hidden="1"/>
    <cellStyle name="Lien hypertexte" xfId="176" builtinId="8" hidden="1"/>
    <cellStyle name="Lien hypertexte" xfId="188" builtinId="8" hidden="1"/>
    <cellStyle name="Lien hypertexte" xfId="124" builtinId="8" hidden="1"/>
    <cellStyle name="Lien hypertexte" xfId="96" builtinId="8" hidden="1"/>
    <cellStyle name="Lien hypertexte" xfId="76" builtinId="8" hidden="1"/>
    <cellStyle name="Lien hypertexte" xfId="68" builtinId="8" hidden="1"/>
    <cellStyle name="Lien hypertexte" xfId="92" builtinId="8" hidden="1"/>
    <cellStyle name="Lien hypertexte" xfId="88" builtinId="8" hidden="1"/>
    <cellStyle name="Lien hypertexte" xfId="140" builtinId="8" hidden="1"/>
    <cellStyle name="Lien hypertexte" xfId="192" builtinId="8" hidden="1"/>
    <cellStyle name="Lien hypertexte" xfId="168" builtinId="8" hidden="1"/>
    <cellStyle name="Lien hypertexte" xfId="148" builtinId="8" hidden="1"/>
    <cellStyle name="Lien hypertexte" xfId="128" builtinId="8" hidden="1"/>
    <cellStyle name="Lien hypertexte" xfId="196" builtinId="8" hidden="1"/>
    <cellStyle name="Lien hypertexte" xfId="228" builtinId="8" hidden="1"/>
    <cellStyle name="Lien hypertexte" xfId="260" builtinId="8" hidden="1"/>
    <cellStyle name="Lien hypertexte" xfId="292" builtinId="8" hidden="1"/>
    <cellStyle name="Lien hypertexte" xfId="324" builtinId="8" hidden="1"/>
    <cellStyle name="Lien hypertexte" xfId="356" builtinId="8" hidden="1"/>
    <cellStyle name="Lien hypertexte" xfId="388" builtinId="8" hidden="1"/>
    <cellStyle name="Lien hypertexte" xfId="420" builtinId="8" hidden="1"/>
    <cellStyle name="Lien hypertexte" xfId="452" builtinId="8" hidden="1"/>
    <cellStyle name="Lien hypertexte" xfId="484" builtinId="8" hidden="1"/>
    <cellStyle name="Lien hypertexte" xfId="516" builtinId="8" hidden="1"/>
    <cellStyle name="Lien hypertexte" xfId="506" builtinId="8" hidden="1"/>
    <cellStyle name="Lien hypertexte" xfId="474" builtinId="8" hidden="1"/>
    <cellStyle name="Lien hypertexte" xfId="442" builtinId="8" hidden="1"/>
    <cellStyle name="Lien hypertexte" xfId="410" builtinId="8" hidden="1"/>
    <cellStyle name="Lien hypertexte" xfId="378" builtinId="8" hidden="1"/>
    <cellStyle name="Lien hypertexte" xfId="346" builtinId="8" hidden="1"/>
    <cellStyle name="Lien hypertexte" xfId="314" builtinId="8" hidden="1"/>
    <cellStyle name="Lien hypertexte" xfId="282" builtinId="8" hidden="1"/>
    <cellStyle name="Lien hypertexte" xfId="250" builtinId="8" hidden="1"/>
    <cellStyle name="Lien hypertexte" xfId="218" builtinId="8" hidden="1"/>
    <cellStyle name="Lien hypertexte" xfId="186" builtinId="8" hidden="1"/>
    <cellStyle name="Lien hypertexte" xfId="154" builtinId="8" hidden="1"/>
    <cellStyle name="Lien hypertexte" xfId="122" builtinId="8" hidden="1"/>
    <cellStyle name="Lien hypertexte" xfId="90" builtinId="8" hidden="1"/>
    <cellStyle name="Lien hypertexte" xfId="26" builtinId="8" hidden="1"/>
    <cellStyle name="Lien hypertexte" xfId="48" builtinId="8" hidden="1"/>
    <cellStyle name="Lien hypertexte" xfId="54" builtinId="8" hidden="1"/>
    <cellStyle name="Lien hypertexte" xfId="18" builtinId="8" hidden="1"/>
    <cellStyle name="Lien hypertexte" xfId="4" builtinId="8" hidden="1"/>
    <cellStyle name="Lien hypertexte" xfId="10" builtinId="8" hidden="1"/>
    <cellStyle name="Lien hypertexte" xfId="60" builtinId="8" hidden="1"/>
    <cellStyle name="Lien hypertexte" xfId="40" builtinId="8" hidden="1"/>
    <cellStyle name="Lien hypertexte" xfId="70" builtinId="8" hidden="1"/>
    <cellStyle name="Lien hypertexte" xfId="102" builtinId="8" hidden="1"/>
    <cellStyle name="Lien hypertexte" xfId="134" builtinId="8" hidden="1"/>
    <cellStyle name="Lien hypertexte" xfId="166" builtinId="8" hidden="1"/>
    <cellStyle name="Lien hypertexte" xfId="198" builtinId="8" hidden="1"/>
    <cellStyle name="Lien hypertexte" xfId="230" builtinId="8" hidden="1"/>
    <cellStyle name="Lien hypertexte" xfId="262" builtinId="8" hidden="1"/>
    <cellStyle name="Lien hypertexte" xfId="294" builtinId="8" hidden="1"/>
    <cellStyle name="Lien hypertexte" xfId="326" builtinId="8" hidden="1"/>
    <cellStyle name="Lien hypertexte" xfId="358" builtinId="8" hidden="1"/>
    <cellStyle name="Lien hypertexte" xfId="390" builtinId="8" hidden="1"/>
    <cellStyle name="Lien hypertexte" xfId="422" builtinId="8" hidden="1"/>
    <cellStyle name="Lien hypertexte" xfId="454" builtinId="8" hidden="1"/>
    <cellStyle name="Lien hypertexte" xfId="486" builtinId="8" hidden="1"/>
    <cellStyle name="Lien hypertexte" xfId="518" builtinId="8" hidden="1"/>
    <cellStyle name="Lien hypertexte" xfId="504" builtinId="8" hidden="1"/>
    <cellStyle name="Lien hypertexte" xfId="472" builtinId="8" hidden="1"/>
    <cellStyle name="Lien hypertexte" xfId="288" builtinId="8" hidden="1"/>
    <cellStyle name="Lien hypertexte" xfId="304" builtinId="8" hidden="1"/>
    <cellStyle name="Lien hypertexte" xfId="328" builtinId="8" hidden="1"/>
    <cellStyle name="Lien hypertexte" xfId="352" builtinId="8" hidden="1"/>
    <cellStyle name="Lien hypertexte" xfId="368" builtinId="8" hidden="1"/>
    <cellStyle name="Lien hypertexte" xfId="392" builtinId="8" hidden="1"/>
    <cellStyle name="Lien hypertexte" xfId="416" builtinId="8" hidden="1"/>
    <cellStyle name="Lien hypertexte" xfId="432" builtinId="8" hidden="1"/>
    <cellStyle name="Lien hypertexte" xfId="440" builtinId="8" hidden="1"/>
    <cellStyle name="Lien hypertexte" xfId="376" builtinId="8" hidden="1"/>
    <cellStyle name="Lien hypertexte" xfId="312" builtinId="8" hidden="1"/>
    <cellStyle name="Lien hypertexte" xfId="232" builtinId="8" hidden="1"/>
    <cellStyle name="Lien hypertexte" xfId="256" builtinId="8" hidden="1"/>
    <cellStyle name="Lien hypertexte" xfId="272" builtinId="8" hidden="1"/>
    <cellStyle name="Lien hypertexte" xfId="216" builtinId="8" hidden="1"/>
    <cellStyle name="Lien hypertexte" xfId="208" builtinId="8" hidden="1"/>
    <cellStyle name="Lien hypertexte" xfId="200" builtinId="8" hidden="1"/>
    <cellStyle name="Lien hypertexte" xfId="224" builtinId="8" hidden="1"/>
    <cellStyle name="Lien hypertexte" xfId="248" builtinId="8" hidden="1"/>
    <cellStyle name="Lien hypertexte" xfId="264" builtinId="8" hidden="1"/>
    <cellStyle name="Lien hypertexte" xfId="240" builtinId="8" hidden="1"/>
    <cellStyle name="Lien hypertexte" xfId="280" builtinId="8" hidden="1"/>
    <cellStyle name="Lien hypertexte" xfId="344" builtinId="8" hidden="1"/>
    <cellStyle name="Lien hypertexte" xfId="408" builtinId="8" hidden="1"/>
    <cellStyle name="Lien hypertexte" xfId="448" builtinId="8" hidden="1"/>
    <cellStyle name="Lien hypertexte" xfId="424" builtinId="8" hidden="1"/>
    <cellStyle name="Lien hypertexte" xfId="400" builtinId="8" hidden="1"/>
    <cellStyle name="Lien hypertexte" xfId="384" builtinId="8" hidden="1"/>
    <cellStyle name="Lien hypertexte" xfId="360" builtinId="8" hidden="1"/>
    <cellStyle name="Lien hypertexte" xfId="336" builtinId="8" hidden="1"/>
    <cellStyle name="Lien hypertexte" xfId="320" builtinId="8" hidden="1"/>
    <cellStyle name="Lien hypertexte" xfId="296" builtinId="8" hidden="1"/>
    <cellStyle name="Lien hypertexte" xfId="456" builtinId="8" hidden="1"/>
    <cellStyle name="Lien hypertexte" xfId="488" builtinId="8" hidden="1"/>
    <cellStyle name="Lien hypertexte" xfId="520" builtinId="8" hidden="1"/>
    <cellStyle name="Lien hypertexte" xfId="502" builtinId="8" hidden="1"/>
    <cellStyle name="Lien hypertexte" xfId="470" builtinId="8" hidden="1"/>
    <cellStyle name="Lien hypertexte" xfId="438" builtinId="8" hidden="1"/>
    <cellStyle name="Lien hypertexte" xfId="406" builtinId="8" hidden="1"/>
    <cellStyle name="Lien hypertexte" xfId="374" builtinId="8" hidden="1"/>
    <cellStyle name="Lien hypertexte" xfId="342" builtinId="8" hidden="1"/>
    <cellStyle name="Lien hypertexte" xfId="310" builtinId="8" hidden="1"/>
    <cellStyle name="Lien hypertexte" xfId="278" builtinId="8" hidden="1"/>
    <cellStyle name="Lien hypertexte" xfId="246" builtinId="8" hidden="1"/>
    <cellStyle name="Lien hypertexte" xfId="214" builtinId="8" hidden="1"/>
    <cellStyle name="Lien hypertexte" xfId="182" builtinId="8" hidden="1"/>
    <cellStyle name="Lien hypertexte" xfId="150" builtinId="8" hidden="1"/>
    <cellStyle name="Lien hypertexte" xfId="118" builtinId="8" hidden="1"/>
    <cellStyle name="Lien hypertexte" xfId="86" builtinId="8" hidden="1"/>
    <cellStyle name="Lien hypertexte" xfId="28" builtinId="8" hidden="1"/>
    <cellStyle name="Lien hypertexte" xfId="50" builtinId="8" hidden="1"/>
    <cellStyle name="Lien hypertexte" xfId="46" builtinId="8" hidden="1"/>
    <cellStyle name="Lien hypertexte" xfId="20" builtinId="8" hidden="1"/>
    <cellStyle name="Lien hypertexte" xfId="8" builtinId="8" hidden="1"/>
    <cellStyle name="Lien hypertexte" xfId="22" builtinId="8" hidden="1"/>
    <cellStyle name="Lien hypertexte" xfId="58" builtinId="8" hidden="1"/>
    <cellStyle name="Lien hypertexte" xfId="36" builtinId="8" hidden="1"/>
    <cellStyle name="Lien hypertexte" xfId="74" builtinId="8" hidden="1"/>
    <cellStyle name="Lien hypertexte" xfId="106" builtinId="8" hidden="1"/>
    <cellStyle name="Lien hypertexte" xfId="138" builtinId="8" hidden="1"/>
    <cellStyle name="Lien hypertexte" xfId="170" builtinId="8" hidden="1"/>
    <cellStyle name="Lien hypertexte" xfId="202" builtinId="8" hidden="1"/>
    <cellStyle name="Lien hypertexte" xfId="234" builtinId="8" hidden="1"/>
    <cellStyle name="Lien hypertexte" xfId="266" builtinId="8" hidden="1"/>
    <cellStyle name="Lien hypertexte" xfId="298" builtinId="8" hidden="1"/>
    <cellStyle name="Lien hypertexte" xfId="330" builtinId="8" hidden="1"/>
    <cellStyle name="Lien hypertexte" xfId="362" builtinId="8" hidden="1"/>
    <cellStyle name="Lien hypertexte" xfId="394" builtinId="8" hidden="1"/>
    <cellStyle name="Lien hypertexte" xfId="426" builtinId="8" hidden="1"/>
    <cellStyle name="Lien hypertexte" xfId="458" builtinId="8" hidden="1"/>
    <cellStyle name="Lien hypertexte" xfId="490" builtinId="8" hidden="1"/>
    <cellStyle name="Lien hypertexte" xfId="522" builtinId="8" hidden="1"/>
    <cellStyle name="Lien hypertexte" xfId="500" builtinId="8" hidden="1"/>
    <cellStyle name="Lien hypertexte" xfId="468" builtinId="8" hidden="1"/>
    <cellStyle name="Lien hypertexte" xfId="436" builtinId="8" hidden="1"/>
    <cellStyle name="Lien hypertexte" xfId="404" builtinId="8" hidden="1"/>
    <cellStyle name="Lien hypertexte" xfId="372" builtinId="8" hidden="1"/>
    <cellStyle name="Lien hypertexte" xfId="340" builtinId="8" hidden="1"/>
    <cellStyle name="Lien hypertexte" xfId="308" builtinId="8" hidden="1"/>
    <cellStyle name="Lien hypertexte" xfId="276" builtinId="8" hidden="1"/>
    <cellStyle name="Lien hypertexte" xfId="244" builtinId="8" hidden="1"/>
    <cellStyle name="Lien hypertexte" xfId="212" builtinId="8" hidden="1"/>
    <cellStyle name="Lien hypertexte" xfId="116" builtinId="8" hidden="1"/>
    <cellStyle name="Lien hypertexte" xfId="136" builtinId="8" hidden="1"/>
    <cellStyle name="Lien hypertexte" xfId="160" builtinId="8" hidden="1"/>
    <cellStyle name="Lien hypertexte" xfId="180" builtinId="8" hidden="1"/>
    <cellStyle name="Lien hypertexte" xfId="172" builtinId="8" hidden="1"/>
    <cellStyle name="Lien hypertexte" xfId="108" builtinId="8" hidden="1"/>
    <cellStyle name="Lien hypertexte" xfId="100" builtinId="8" hidden="1"/>
    <cellStyle name="Lien hypertexte" xfId="80" builtinId="8" hidden="1"/>
    <cellStyle name="Lien hypertexte" xfId="72" builtinId="8" hidden="1"/>
    <cellStyle name="Lien hypertexte" xfId="104" builtinId="8" hidden="1"/>
    <cellStyle name="Lien hypertexte" xfId="84" builtinId="8" hidden="1"/>
    <cellStyle name="Lien hypertexte" xfId="156" builtinId="8" hidden="1"/>
    <cellStyle name="Lien hypertexte" xfId="184" builtinId="8" hidden="1"/>
    <cellStyle name="Lien hypertexte" xfId="164" builtinId="8" hidden="1"/>
    <cellStyle name="Lien hypertexte" xfId="144" builtinId="8" hidden="1"/>
    <cellStyle name="Lien hypertexte" xfId="120" builtinId="8" hidden="1"/>
    <cellStyle name="Lien hypertexte" xfId="204" builtinId="8" hidden="1"/>
    <cellStyle name="Lien hypertexte" xfId="236" builtinId="8" hidden="1"/>
    <cellStyle name="Lien hypertexte" xfId="268" builtinId="8" hidden="1"/>
    <cellStyle name="Lien hypertexte" xfId="300" builtinId="8" hidden="1"/>
    <cellStyle name="Lien hypertexte" xfId="332" builtinId="8" hidden="1"/>
    <cellStyle name="Lien hypertexte" xfId="364" builtinId="8" hidden="1"/>
    <cellStyle name="Lien hypertexte" xfId="396" builtinId="8" hidden="1"/>
    <cellStyle name="Lien hypertexte" xfId="428" builtinId="8" hidden="1"/>
    <cellStyle name="Lien hypertexte" xfId="460" builtinId="8" hidden="1"/>
    <cellStyle name="Lien hypertexte" xfId="492" builtinId="8" hidden="1"/>
    <cellStyle name="Lien hypertexte" xfId="524" builtinId="8" hidden="1"/>
    <cellStyle name="Lien hypertexte" xfId="498" builtinId="8" hidden="1"/>
    <cellStyle name="Lien hypertexte" xfId="466" builtinId="8" hidden="1"/>
    <cellStyle name="Lien hypertexte" xfId="434" builtinId="8" hidden="1"/>
    <cellStyle name="Lien hypertexte" xfId="402" builtinId="8" hidden="1"/>
    <cellStyle name="Lien hypertexte" xfId="370" builtinId="8" hidden="1"/>
    <cellStyle name="Lien hypertexte" xfId="338" builtinId="8" hidden="1"/>
    <cellStyle name="Lien hypertexte" xfId="306" builtinId="8" hidden="1"/>
    <cellStyle name="Lien hypertexte" xfId="274" builtinId="8" hidden="1"/>
    <cellStyle name="Lien hypertexte" xfId="242" builtinId="8" hidden="1"/>
    <cellStyle name="Lien hypertexte" xfId="210" builtinId="8" hidden="1"/>
    <cellStyle name="Lien hypertexte" xfId="178" builtinId="8" hidden="1"/>
    <cellStyle name="Lien hypertexte" xfId="146" builtinId="8" hidden="1"/>
    <cellStyle name="Lien hypertexte" xfId="114" builtinId="8" hidden="1"/>
    <cellStyle name="Lien hypertexte" xfId="82" builtinId="8" hidden="1"/>
    <cellStyle name="Lien hypertexte" xfId="32" builtinId="8" hidden="1"/>
    <cellStyle name="Lien hypertexte" xfId="52" builtinId="8" hidden="1"/>
    <cellStyle name="Lien hypertexte" xfId="38" builtinId="8" hidden="1"/>
    <cellStyle name="Lien hypertexte" xfId="14" builtinId="8" hidden="1"/>
    <cellStyle name="Lien hypertexte" xfId="6" builtinId="8" hidden="1"/>
    <cellStyle name="Lien hypertexte" xfId="30" builtinId="8" hidden="1"/>
    <cellStyle name="Lien hypertexte" xfId="56" builtinId="8" hidden="1"/>
    <cellStyle name="Lien hypertexte" xfId="34" builtinId="8" hidden="1"/>
    <cellStyle name="Lien hypertexte" xfId="78" builtinId="8" hidden="1"/>
    <cellStyle name="Lien hypertexte" xfId="414" builtinId="8" hidden="1"/>
    <cellStyle name="Lien hypertexte" xfId="398" builtinId="8" hidden="1"/>
    <cellStyle name="Lien hypertexte" xfId="382" builtinId="8" hidden="1"/>
    <cellStyle name="Lien hypertexte" xfId="350" builtinId="8" hidden="1"/>
    <cellStyle name="Lien hypertexte" xfId="334" builtinId="8" hidden="1"/>
    <cellStyle name="Lien hypertexte" xfId="318" builtinId="8" hidden="1"/>
    <cellStyle name="Lien hypertexte" xfId="286" builtinId="8" hidden="1"/>
    <cellStyle name="Lien hypertexte" xfId="270" builtinId="8" hidden="1"/>
    <cellStyle name="Lien hypertexte" xfId="254" builtinId="8" hidden="1"/>
    <cellStyle name="Lien hypertexte" xfId="222" builtinId="8" hidden="1"/>
    <cellStyle name="Lien hypertexte" xfId="206" builtinId="8" hidden="1"/>
    <cellStyle name="Lien hypertexte" xfId="190" builtinId="8" hidden="1"/>
    <cellStyle name="Lien hypertexte" xfId="158" builtinId="8" hidden="1"/>
    <cellStyle name="Lien hypertexte" xfId="142" builtinId="8" hidden="1"/>
    <cellStyle name="Lien hypertexte" xfId="126" builtinId="8" hidden="1"/>
    <cellStyle name="Lien hypertexte" xfId="94" builtinId="8" hidden="1"/>
    <cellStyle name="Lien hypertexte" xfId="110" builtinId="8" hidden="1"/>
    <cellStyle name="Lien hypertexte" xfId="174" builtinId="8" hidden="1"/>
    <cellStyle name="Lien hypertexte" xfId="238" builtinId="8" hidden="1"/>
    <cellStyle name="Lien hypertexte" xfId="302" builtinId="8" hidden="1"/>
    <cellStyle name="Lien hypertexte" xfId="366" builtinId="8" hidden="1"/>
    <cellStyle name="Lien hypertexte" xfId="430" builtinId="8" hidden="1"/>
    <cellStyle name="Lien hypertexte" xfId="526" builtinId="8" hidden="1"/>
    <cellStyle name="Lien hypertexte" xfId="510" builtinId="8" hidden="1"/>
    <cellStyle name="Lien hypertexte" xfId="478" builtinId="8" hidden="1"/>
    <cellStyle name="Lien hypertexte" xfId="462" builtinId="8" hidden="1"/>
    <cellStyle name="Lien hypertexte" xfId="446" builtinId="8" hidden="1"/>
    <cellStyle name="Lien hypertexte" xfId="494" builtinId="8" hidden="1"/>
    <cellStyle name="Lien hypertexte" xfId="496" builtinId="8" hidden="1"/>
    <cellStyle name="Lien hypertexte" xfId="512" builtinId="8" hidden="1"/>
    <cellStyle name="Lien hypertexte" xfId="480" builtinId="8" hidden="1"/>
    <cellStyle name="Lien hypertexte" xfId="464" builtinId="8" hidden="1"/>
    <cellStyle name="Lien hypertexte visité" xfId="275" builtinId="9" hidden="1"/>
    <cellStyle name="Lien hypertexte visité" xfId="283" builtinId="9" hidden="1"/>
    <cellStyle name="Lien hypertexte visité" xfId="285" builtinId="9" hidden="1"/>
    <cellStyle name="Lien hypertexte visité" xfId="287" builtinId="9" hidden="1"/>
    <cellStyle name="Lien hypertexte visité" xfId="295" builtinId="9" hidden="1"/>
    <cellStyle name="Lien hypertexte visité" xfId="299" builtinId="9" hidden="1"/>
    <cellStyle name="Lien hypertexte visité" xfId="307" builtinId="9" hidden="1"/>
    <cellStyle name="Lien hypertexte visité" xfId="303" builtinId="9" hidden="1"/>
    <cellStyle name="Lien hypertexte visité" xfId="223" builtinId="9" hidden="1"/>
    <cellStyle name="Lien hypertexte visité" xfId="227" builtinId="9" hidden="1"/>
    <cellStyle name="Lien hypertexte visité" xfId="235" builtinId="9" hidden="1"/>
    <cellStyle name="Lien hypertexte visité" xfId="237" builtinId="9" hidden="1"/>
    <cellStyle name="Lien hypertexte visité" xfId="239" builtinId="9" hidden="1"/>
    <cellStyle name="Lien hypertexte visité" xfId="247" builtinId="9" hidden="1"/>
    <cellStyle name="Lien hypertexte visité" xfId="211" builtinId="9" hidden="1"/>
    <cellStyle name="Lien hypertexte visité" xfId="215" builtinId="9" hidden="1"/>
    <cellStyle name="Lien hypertexte visité" xfId="221" builtinId="9" hidden="1"/>
    <cellStyle name="Lien hypertexte visité" xfId="207" builtinId="9" hidden="1"/>
    <cellStyle name="Lien hypertexte visité" xfId="203" builtinId="9" hidden="1"/>
    <cellStyle name="Lien hypertexte visité" xfId="205" builtinId="9" hidden="1"/>
    <cellStyle name="Lien hypertexte visité" xfId="213" builtinId="9" hidden="1"/>
    <cellStyle name="Lien hypertexte visité" xfId="243" builtinId="9" hidden="1"/>
    <cellStyle name="Lien hypertexte visité" xfId="261" builtinId="9" hidden="1"/>
    <cellStyle name="Lien hypertexte visité" xfId="301" builtinId="9" hidden="1"/>
    <cellStyle name="Lien hypertexte visité" xfId="291" builtinId="9" hidden="1"/>
    <cellStyle name="Lien hypertexte visité" xfId="269" builtinId="9" hidden="1"/>
    <cellStyle name="Lien hypertexte visité" xfId="255" builtinId="9" hidden="1"/>
    <cellStyle name="Lien hypertexte visité" xfId="347" builtinId="9" hidden="1"/>
    <cellStyle name="Lien hypertexte visité" xfId="451" builtinId="9" hidden="1"/>
    <cellStyle name="Lien hypertexte visité" xfId="439" builtinId="9" hidden="1"/>
    <cellStyle name="Lien hypertexte visité" xfId="427" builtinId="9" hidden="1"/>
    <cellStyle name="Lien hypertexte visité" xfId="403" builtinId="9" hidden="1"/>
    <cellStyle name="Lien hypertexte visité" xfId="391" builtinId="9" hidden="1"/>
    <cellStyle name="Lien hypertexte visité" xfId="379" builtinId="9" hidden="1"/>
    <cellStyle name="Lien hypertexte visité" xfId="355" builtinId="9" hidden="1"/>
    <cellStyle name="Lien hypertexte visité" xfId="341" builtinId="9" hidden="1"/>
    <cellStyle name="Lien hypertexte visité" xfId="331" builtinId="9" hidden="1"/>
    <cellStyle name="Lien hypertexte visité" xfId="475" builtinId="9" hidden="1"/>
    <cellStyle name="Lien hypertexte visité" xfId="517" builtinId="9" hidden="1"/>
    <cellStyle name="Lien hypertexte visité" xfId="433" builtinId="9" hidden="1"/>
    <cellStyle name="Lien hypertexte visité" xfId="91" builtinId="9" hidden="1"/>
    <cellStyle name="Lien hypertexte visité" xfId="127" builtinId="9" hidden="1"/>
    <cellStyle name="Lien hypertexte visité" xfId="165" builtinId="9" hidden="1"/>
    <cellStyle name="Lien hypertexte visité" xfId="63" builtinId="9" hidden="1"/>
    <cellStyle name="Lien hypertexte visité" xfId="27" builtinId="9" hidden="1"/>
    <cellStyle name="Lien hypertexte visité" xfId="3" builtinId="9" hidden="1"/>
    <cellStyle name="Lien hypertexte visité" xfId="37" builtinId="9" hidden="1"/>
    <cellStyle name="Lien hypertexte visité" xfId="25" builtinId="9" hidden="1"/>
    <cellStyle name="Lien hypertexte visité" xfId="85" builtinId="9" hidden="1"/>
    <cellStyle name="Lien hypertexte visité" xfId="61" builtinId="9" hidden="1"/>
    <cellStyle name="Lien hypertexte visité" xfId="281" builtinId="9" hidden="1"/>
    <cellStyle name="Lien hypertexte visité" xfId="265" builtinId="9" hidden="1"/>
    <cellStyle name="Lien hypertexte visité" xfId="249" builtinId="9" hidden="1"/>
    <cellStyle name="Lien hypertexte visité" xfId="233" builtinId="9" hidden="1"/>
    <cellStyle name="Lien hypertexte visité" xfId="217" builtinId="9" hidden="1"/>
    <cellStyle name="Lien hypertexte visité" xfId="87" builtinId="9" hidden="1"/>
    <cellStyle name="Lien hypertexte visité" xfId="89" builtinId="9" hidden="1"/>
    <cellStyle name="Lien hypertexte visité" xfId="93" builtinId="9" hidden="1"/>
    <cellStyle name="Lien hypertexte visité" xfId="99" builtinId="9" hidden="1"/>
    <cellStyle name="Lien hypertexte visité" xfId="105" builtinId="9" hidden="1"/>
    <cellStyle name="Lien hypertexte visité" xfId="107" builtinId="9" hidden="1"/>
    <cellStyle name="Lien hypertexte visité" xfId="115" builtinId="9" hidden="1"/>
    <cellStyle name="Lien hypertexte visité" xfId="117" builtinId="9" hidden="1"/>
    <cellStyle name="Lien hypertexte visité" xfId="121" builtinId="9" hidden="1"/>
    <cellStyle name="Lien hypertexte visité" xfId="131" builtinId="9" hidden="1"/>
    <cellStyle name="Lien hypertexte visité" xfId="133" builtinId="9" hidden="1"/>
    <cellStyle name="Lien hypertexte visité" xfId="135" builtinId="9" hidden="1"/>
    <cellStyle name="Lien hypertexte visité" xfId="141" builtinId="9" hidden="1"/>
    <cellStyle name="Lien hypertexte visité" xfId="143" builtinId="9" hidden="1"/>
    <cellStyle name="Lien hypertexte visité" xfId="149" builtinId="9" hidden="1"/>
    <cellStyle name="Lien hypertexte visité" xfId="157" builtinId="9" hidden="1"/>
    <cellStyle name="Lien hypertexte visité" xfId="159" builtinId="9" hidden="1"/>
    <cellStyle name="Lien hypertexte visité" xfId="163" builtinId="9" hidden="1"/>
    <cellStyle name="Lien hypertexte visité" xfId="169" builtinId="9" hidden="1"/>
    <cellStyle name="Lien hypertexte visité" xfId="171" builtinId="9" hidden="1"/>
    <cellStyle name="Lien hypertexte visité" xfId="179" builtinId="9" hidden="1"/>
    <cellStyle name="Lien hypertexte visité" xfId="185" builtinId="9" hidden="1"/>
    <cellStyle name="Lien hypertexte visité" xfId="187" builtinId="9" hidden="1"/>
    <cellStyle name="Lien hypertexte visité" xfId="189" builtinId="9" hidden="1"/>
    <cellStyle name="Lien hypertexte visité" xfId="197" builtinId="9" hidden="1"/>
    <cellStyle name="Lien hypertexte visité" xfId="161" builtinId="9" hidden="1"/>
    <cellStyle name="Lien hypertexte visité" xfId="145" builtinId="9" hidden="1"/>
    <cellStyle name="Lien hypertexte visité" xfId="97" builtinId="9" hidden="1"/>
    <cellStyle name="Lien hypertexte visité" xfId="41" builtinId="9" hidden="1"/>
    <cellStyle name="Lien hypertexte visité" xfId="43" builtinId="9" hidden="1"/>
    <cellStyle name="Lien hypertexte visité" xfId="53" builtinId="9" hidden="1"/>
    <cellStyle name="Lien hypertexte visité" xfId="57" builtinId="9" hidden="1"/>
    <cellStyle name="Lien hypertexte visité" xfId="51" builtinId="9" hidden="1"/>
    <cellStyle name="Lien hypertexte visité" xfId="175" builtinId="9" hidden="1"/>
    <cellStyle name="Lien hypertexte visité" xfId="151" builtinId="9" hidden="1"/>
    <cellStyle name="Lien hypertexte visité" xfId="125" builtinId="9" hidden="1"/>
    <cellStyle name="Lien hypertexte visité" xfId="225" builtinId="9" hidden="1"/>
    <cellStyle name="Lien hypertexte visité" xfId="521" builtinId="9" hidden="1"/>
    <cellStyle name="Lien hypertexte visité" xfId="513" builtinId="9" hidden="1"/>
    <cellStyle name="Lien hypertexte visité" xfId="489" builtinId="9" hidden="1"/>
    <cellStyle name="Lien hypertexte visité" xfId="473" builtinId="9" hidden="1"/>
    <cellStyle name="Lien hypertexte visité" xfId="457" builtinId="9" hidden="1"/>
    <cellStyle name="Lien hypertexte visité" xfId="441" builtinId="9" hidden="1"/>
    <cellStyle name="Lien hypertexte visité" xfId="425" builtinId="9" hidden="1"/>
    <cellStyle name="Lien hypertexte visité" xfId="417" builtinId="9" hidden="1"/>
    <cellStyle name="Lien hypertexte visité" xfId="393" builtinId="9" hidden="1"/>
    <cellStyle name="Lien hypertexte visité" xfId="385" builtinId="9" hidden="1"/>
    <cellStyle name="Lien hypertexte visité" xfId="377" builtinId="9" hidden="1"/>
    <cellStyle name="Lien hypertexte visité" xfId="353" builtinId="9" hidden="1"/>
    <cellStyle name="Lien hypertexte visité" xfId="345" builtinId="9" hidden="1"/>
    <cellStyle name="Lien hypertexte visité" xfId="329" builtinId="9" hidden="1"/>
    <cellStyle name="Lien hypertexte visité" xfId="297" builtinId="9" hidden="1"/>
    <cellStyle name="Lien hypertexte visité" xfId="289" builtinId="9" hidden="1"/>
    <cellStyle name="Lien hypertexte visité" xfId="313" builtinId="9" hidden="1"/>
    <cellStyle name="Lien hypertexte visité" xfId="493" builtinId="9" hidden="1"/>
    <cellStyle name="Lien hypertexte visité" xfId="499" builtinId="9" hidden="1"/>
    <cellStyle name="Lien hypertexte visité" xfId="501" builtinId="9" hidden="1"/>
    <cellStyle name="Lien hypertexte visité" xfId="509" builtinId="9" hidden="1"/>
    <cellStyle name="Lien hypertexte visité" xfId="511" builtinId="9" hidden="1"/>
    <cellStyle name="Lien hypertexte visité" xfId="515" builtinId="9" hidden="1"/>
    <cellStyle name="Lien hypertexte visité" xfId="523" builtinId="9" hidden="1"/>
    <cellStyle name="Lien hypertexte visité" xfId="525" builtinId="9" hidden="1"/>
    <cellStyle name="Lien hypertexte visité" xfId="477" builtinId="9" hidden="1"/>
    <cellStyle name="Lien hypertexte visité" xfId="483" builtinId="9" hidden="1"/>
    <cellStyle name="Lien hypertexte visité" xfId="487" builtinId="9" hidden="1"/>
    <cellStyle name="Lien hypertexte visité" xfId="491" builtinId="9" hidden="1"/>
    <cellStyle name="Lien hypertexte visité" xfId="471" builtinId="9" hidden="1"/>
    <cellStyle name="Lien hypertexte visité" xfId="467" builtinId="9" hidden="1"/>
    <cellStyle name="Lien hypertexte visité" xfId="461" builtinId="9" hidden="1"/>
    <cellStyle name="Lien hypertexte visité" xfId="469" builtinId="9" hidden="1"/>
    <cellStyle name="Lien hypertexte visité" xfId="479" builtinId="9" hidden="1"/>
    <cellStyle name="Lien hypertexte visité" xfId="519" builtinId="9" hidden="1"/>
    <cellStyle name="Lien hypertexte visité" xfId="503" builtinId="9" hidden="1"/>
    <cellStyle name="Lien hypertexte visité" xfId="481" builtinId="9" hidden="1"/>
    <cellStyle name="Lien hypertexte visité" xfId="321" builtinId="9" hidden="1"/>
    <cellStyle name="Lien hypertexte visité" xfId="361" builtinId="9" hidden="1"/>
    <cellStyle name="Lien hypertexte visité" xfId="409" builtinId="9" hidden="1"/>
    <cellStyle name="Lien hypertexte visité" xfId="449" builtinId="9" hidden="1"/>
    <cellStyle name="Lien hypertexte visité" xfId="505" builtinId="9" hidden="1"/>
    <cellStyle name="Lien hypertexte visité" xfId="103" builtinId="9" hidden="1"/>
    <cellStyle name="Lien hypertexte visité" xfId="193" builtinId="9" hidden="1"/>
    <cellStyle name="Lien hypertexte visité" xfId="47" builtinId="9" hidden="1"/>
    <cellStyle name="Lien hypertexte visité" xfId="129" builtinId="9" hidden="1"/>
    <cellStyle name="Lien hypertexte visité" xfId="195" builtinId="9" hidden="1"/>
    <cellStyle name="Lien hypertexte visité" xfId="181" builtinId="9" hidden="1"/>
    <cellStyle name="Lien hypertexte visité" xfId="167" builtinId="9" hidden="1"/>
    <cellStyle name="Lien hypertexte visité" xfId="153" builtinId="9" hidden="1"/>
    <cellStyle name="Lien hypertexte visité" xfId="139" builtinId="9" hidden="1"/>
    <cellStyle name="Lien hypertexte visité" xfId="123" builtinId="9" hidden="1"/>
    <cellStyle name="Lien hypertexte visité" xfId="111" builtinId="9" hidden="1"/>
    <cellStyle name="Lien hypertexte visité" xfId="95" builtinId="9" hidden="1"/>
    <cellStyle name="Lien hypertexte visité" xfId="201" builtinId="9" hidden="1"/>
    <cellStyle name="Lien hypertexte visité" xfId="257" builtinId="9" hidden="1"/>
    <cellStyle name="Lien hypertexte visité" xfId="73" builtinId="9" hidden="1"/>
    <cellStyle name="Lien hypertexte visité" xfId="17" builtinId="9" hidden="1"/>
    <cellStyle name="Lien hypertexte visité" xfId="177" builtinId="9" hidden="1"/>
    <cellStyle name="Lien hypertexte visité" xfId="305" builtinId="9" hidden="1"/>
    <cellStyle name="Lien hypertexte visité" xfId="317" builtinId="9" hidden="1"/>
    <cellStyle name="Lien hypertexte visité" xfId="365" builtinId="9" hidden="1"/>
    <cellStyle name="Lien hypertexte visité" xfId="415" builtinId="9" hidden="1"/>
    <cellStyle name="Lien hypertexte visité" xfId="431" builtinId="9" hidden="1"/>
    <cellStyle name="Lien hypertexte visité" xfId="279" builtinId="9" hidden="1"/>
    <cellStyle name="Lien hypertexte visité" xfId="231" builtinId="9" hidden="1"/>
    <cellStyle name="Lien hypertexte visité" xfId="199" builtinId="9" hidden="1"/>
    <cellStyle name="Lien hypertexte visité" xfId="219" builtinId="9" hidden="1"/>
    <cellStyle name="Lien hypertexte visité" xfId="245" builtinId="9" hidden="1"/>
    <cellStyle name="Lien hypertexte visité" xfId="229" builtinId="9" hidden="1"/>
    <cellStyle name="Lien hypertexte visité" xfId="309" builtinId="9" hidden="1"/>
    <cellStyle name="Lien hypertexte visité" xfId="293" builtinId="9" hidden="1"/>
    <cellStyle name="Lien hypertexte visité" xfId="277" builtinId="9" hidden="1"/>
    <cellStyle name="Lien hypertexte visité" xfId="401" builtinId="9" hidden="1"/>
    <cellStyle name="Lien hypertexte visité" xfId="465" builtinId="9" hidden="1"/>
    <cellStyle name="Lien hypertexte visité" xfId="497" builtinId="9" hidden="1"/>
    <cellStyle name="Lien hypertexte visité" xfId="527" builtinId="9" hidden="1"/>
    <cellStyle name="Lien hypertexte visité" xfId="507" builtinId="9" hidden="1"/>
    <cellStyle name="Lien hypertexte visité" xfId="485" builtinId="9" hidden="1"/>
    <cellStyle name="Lien hypertexte visité" xfId="463" builtinId="9" hidden="1"/>
    <cellStyle name="Lien hypertexte visité" xfId="311" builtinId="9" hidden="1"/>
    <cellStyle name="Lien hypertexte visité" xfId="315" builtinId="9" hidden="1"/>
    <cellStyle name="Lien hypertexte visité" xfId="319" builtinId="9" hidden="1"/>
    <cellStyle name="Lien hypertexte visité" xfId="323" builtinId="9" hidden="1"/>
    <cellStyle name="Lien hypertexte visité" xfId="327" builtinId="9" hidden="1"/>
    <cellStyle name="Lien hypertexte visité" xfId="335" builtinId="9" hidden="1"/>
    <cellStyle name="Lien hypertexte visité" xfId="339" builtinId="9" hidden="1"/>
    <cellStyle name="Lien hypertexte visité" xfId="343" builtinId="9" hidden="1"/>
    <cellStyle name="Lien hypertexte visité" xfId="349" builtinId="9" hidden="1"/>
    <cellStyle name="Lien hypertexte visité" xfId="351" builtinId="9" hidden="1"/>
    <cellStyle name="Lien hypertexte visité" xfId="357" builtinId="9" hidden="1"/>
    <cellStyle name="Lien hypertexte visité" xfId="359" builtinId="9" hidden="1"/>
    <cellStyle name="Lien hypertexte visité" xfId="371" builtinId="9" hidden="1"/>
    <cellStyle name="Lien hypertexte visité" xfId="373" builtinId="9" hidden="1"/>
    <cellStyle name="Lien hypertexte visité" xfId="375" builtinId="9" hidden="1"/>
    <cellStyle name="Lien hypertexte visité" xfId="381" builtinId="9" hidden="1"/>
    <cellStyle name="Lien hypertexte visité" xfId="383" builtinId="9" hidden="1"/>
    <cellStyle name="Lien hypertexte visité" xfId="387" builtinId="9" hidden="1"/>
    <cellStyle name="Lien hypertexte visité" xfId="395" builtinId="9" hidden="1"/>
    <cellStyle name="Lien hypertexte visité" xfId="399" builtinId="9" hidden="1"/>
    <cellStyle name="Lien hypertexte visité" xfId="405" builtinId="9" hidden="1"/>
    <cellStyle name="Lien hypertexte visité" xfId="407" builtinId="9" hidden="1"/>
    <cellStyle name="Lien hypertexte visité" xfId="413" builtinId="9" hidden="1"/>
    <cellStyle name="Lien hypertexte visité" xfId="419" builtinId="9" hidden="1"/>
    <cellStyle name="Lien hypertexte visité" xfId="421" builtinId="9" hidden="1"/>
    <cellStyle name="Lien hypertexte visité" xfId="423" builtinId="9" hidden="1"/>
    <cellStyle name="Lien hypertexte visité" xfId="435" builtinId="9" hidden="1"/>
    <cellStyle name="Lien hypertexte visité" xfId="437" builtinId="9" hidden="1"/>
    <cellStyle name="Lien hypertexte visité" xfId="443" builtinId="9" hidden="1"/>
    <cellStyle name="Lien hypertexte visité" xfId="445" builtinId="9" hidden="1"/>
    <cellStyle name="Lien hypertexte visité" xfId="447" builtinId="9" hidden="1"/>
    <cellStyle name="Lien hypertexte visité" xfId="455" builtinId="9" hidden="1"/>
    <cellStyle name="Lien hypertexte visité" xfId="459" builtinId="9" hidden="1"/>
    <cellStyle name="Lien hypertexte visité" xfId="411" builtinId="9" hidden="1"/>
    <cellStyle name="Lien hypertexte visité" xfId="389" builtinId="9" hidden="1"/>
    <cellStyle name="Lien hypertexte visité" xfId="367" builtinId="9" hidden="1"/>
    <cellStyle name="Lien hypertexte visité" xfId="325" builtinId="9" hidden="1"/>
    <cellStyle name="Lien hypertexte visité" xfId="251" builtinId="9" hidden="1"/>
    <cellStyle name="Lien hypertexte visité" xfId="253" builtinId="9" hidden="1"/>
    <cellStyle name="Lien hypertexte visité" xfId="259" builtinId="9" hidden="1"/>
    <cellStyle name="Lien hypertexte visité" xfId="267" builtinId="9" hidden="1"/>
    <cellStyle name="Lien hypertexte visité" xfId="271" builtinId="9" hidden="1"/>
    <cellStyle name="Lien hypertexte visité" xfId="263" builtinId="9" hidden="1"/>
    <cellStyle name="Lien hypertexte visité" xfId="453" builtinId="9" hidden="1"/>
    <cellStyle name="Lien hypertexte visité" xfId="429" builtinId="9" hidden="1"/>
    <cellStyle name="Lien hypertexte visité" xfId="397" builtinId="9" hidden="1"/>
    <cellStyle name="Lien hypertexte visité" xfId="363" builtinId="9" hidden="1"/>
    <cellStyle name="Lien hypertexte visité" xfId="333" builtinId="9" hidden="1"/>
    <cellStyle name="Lien hypertexte visité" xfId="495" builtinId="9" hidden="1"/>
    <cellStyle name="Lien hypertexte visité" xfId="7" builtinId="9" hidden="1"/>
    <cellStyle name="Lien hypertexte visité" xfId="13" builtinId="9" hidden="1"/>
    <cellStyle name="Lien hypertexte visité" xfId="35" builtinId="9" hidden="1"/>
    <cellStyle name="Lien hypertexte visité" xfId="49" builtinId="9" hidden="1"/>
    <cellStyle name="Lien hypertexte visité" xfId="71" builtinId="9" hidden="1"/>
    <cellStyle name="Lien hypertexte visité" xfId="55" builtinId="9" hidden="1"/>
    <cellStyle name="Lien hypertexte visité" xfId="45" builtinId="9" hidden="1"/>
    <cellStyle name="Lien hypertexte visité" xfId="113" builtinId="9" hidden="1"/>
    <cellStyle name="Lien hypertexte visité" xfId="191" builtinId="9" hidden="1"/>
    <cellStyle name="Lien hypertexte visité" xfId="183" builtinId="9" hidden="1"/>
    <cellStyle name="Lien hypertexte visité" xfId="173" builtinId="9" hidden="1"/>
    <cellStyle name="Lien hypertexte visité" xfId="155" builtinId="9" hidden="1"/>
    <cellStyle name="Lien hypertexte visité" xfId="147" builtinId="9" hidden="1"/>
    <cellStyle name="Lien hypertexte visité" xfId="137" builtinId="9" hidden="1"/>
    <cellStyle name="Lien hypertexte visité" xfId="119" builtinId="9" hidden="1"/>
    <cellStyle name="Lien hypertexte visité" xfId="109" builtinId="9" hidden="1"/>
    <cellStyle name="Lien hypertexte visité" xfId="101" builtinId="9" hidden="1"/>
    <cellStyle name="Lien hypertexte visité" xfId="209" builtinId="9" hidden="1"/>
    <cellStyle name="Lien hypertexte visité" xfId="241" builtinId="9" hidden="1"/>
    <cellStyle name="Lien hypertexte visité" xfId="337" builtinId="9" hidden="1"/>
    <cellStyle name="Lien hypertexte visité" xfId="369" builtinId="9" hidden="1"/>
    <cellStyle name="Lien hypertexte visité" xfId="273" builtinId="9" hidden="1"/>
    <cellStyle name="Lien hypertexte visité" xfId="79" builtinId="9" hidden="1"/>
    <cellStyle name="Lien hypertexte visité" xfId="23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9" builtinId="9" hidden="1"/>
    <cellStyle name="Lien hypertexte visité" xfId="11" builtinId="9" hidden="1"/>
    <cellStyle name="Lien hypertexte visité" xfId="15" builtinId="9" hidden="1"/>
    <cellStyle name="Lien hypertexte visité" xfId="19" builtinId="9" hidden="1"/>
    <cellStyle name="Lien hypertexte visité" xfId="9" builtinId="9" hidden="1"/>
    <cellStyle name="Lien hypertexte visité" xfId="5" builtinId="9" hidden="1"/>
    <cellStyle name="Lien hypertexte visité" xfId="75" builtinId="9" hidden="1"/>
    <cellStyle name="Lien hypertexte visité" xfId="77" builtinId="9" hidden="1"/>
    <cellStyle name="Lien hypertexte visité" xfId="83" builtinId="9" hidden="1"/>
    <cellStyle name="Lien hypertexte visité" xfId="81" builtinId="9" hidden="1"/>
    <cellStyle name="Lien hypertexte visité" xfId="21" builtinId="9" hidden="1"/>
    <cellStyle name="Lien hypertexte visité" xfId="67" builtinId="9" hidden="1"/>
    <cellStyle name="Lien hypertexte visité" xfId="69" builtinId="9" hidden="1"/>
    <cellStyle name="Lien hypertexte visité" xfId="65" builtinId="9" hidden="1"/>
    <cellStyle name="Lien hypertexte visité" xfId="59" builtinId="9" hidden="1"/>
    <cellStyle name="Milliers" xfId="532" builtinId="3"/>
    <cellStyle name="Milliers [0]" xfId="528" builtinId="6"/>
    <cellStyle name="Milliers [0] 2" xfId="531" xr:uid="{17CC9B5E-AA60-47FB-8EC6-2CE72185A737}"/>
    <cellStyle name="Normal" xfId="0" builtinId="0"/>
    <cellStyle name="Normal 2" xfId="529" xr:uid="{66B8C0A0-0F2A-47F0-86A6-39C65FFA2AB1}"/>
    <cellStyle name="Pourcentage" xfId="1" builtinId="5"/>
    <cellStyle name="Pourcentage 2" xfId="530" xr:uid="{9C7E3ECB-2D39-4AFF-83B2-0F66238DF1BA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8</xdr:col>
      <xdr:colOff>304800</xdr:colOff>
      <xdr:row>1</xdr:row>
      <xdr:rowOff>304800</xdr:rowOff>
    </xdr:to>
    <xdr:sp macro="" textlink="">
      <xdr:nvSpPr>
        <xdr:cNvPr id="1025" name="8ua9KcrqmKgcjM:" descr="ésultat de recherche d'images pour &quot;GIZ SÉNÉGAL&quot;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1103630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304800</xdr:colOff>
      <xdr:row>1</xdr:row>
      <xdr:rowOff>304800</xdr:rowOff>
    </xdr:to>
    <xdr:sp macro="" textlink="">
      <xdr:nvSpPr>
        <xdr:cNvPr id="1026" name="AutoShape 2" descr="ésultat de recherche d'images pour &quot;GIZ SÉNÉGAL&quot;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1103630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9</xdr:col>
      <xdr:colOff>254000</xdr:colOff>
      <xdr:row>1</xdr:row>
      <xdr:rowOff>101600</xdr:rowOff>
    </xdr:from>
    <xdr:to>
      <xdr:col>14</xdr:col>
      <xdr:colOff>122125</xdr:colOff>
      <xdr:row>10</xdr:row>
      <xdr:rowOff>83909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50900" y="292100"/>
          <a:ext cx="5537200" cy="21063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65"/>
  <sheetViews>
    <sheetView tabSelected="1" zoomScale="70" zoomScaleNormal="70" workbookViewId="0">
      <selection activeCell="F87" sqref="F87"/>
    </sheetView>
  </sheetViews>
  <sheetFormatPr baseColWidth="10" defaultColWidth="11" defaultRowHeight="15.5" x14ac:dyDescent="0.35"/>
  <cols>
    <col min="1" max="1" width="6.83203125" style="1" customWidth="1"/>
    <col min="2" max="2" width="41.4140625" customWidth="1"/>
    <col min="3" max="3" width="17.5" customWidth="1"/>
    <col min="4" max="4" width="18.75" customWidth="1"/>
    <col min="5" max="5" width="18.08203125" customWidth="1"/>
    <col min="6" max="6" width="18" customWidth="1"/>
    <col min="7" max="7" width="19.5" customWidth="1"/>
    <col min="8" max="8" width="21" customWidth="1"/>
    <col min="9" max="9" width="19.83203125" customWidth="1"/>
    <col min="10" max="10" width="15.58203125" style="1" customWidth="1"/>
    <col min="11" max="11" width="14.33203125" style="1" customWidth="1"/>
    <col min="12" max="12" width="15.75" style="1" customWidth="1"/>
    <col min="13" max="13" width="15.33203125" style="1" customWidth="1"/>
    <col min="14" max="14" width="13.08203125" style="1" customWidth="1"/>
    <col min="15" max="15" width="14" style="1" customWidth="1"/>
    <col min="16" max="16" width="10.83203125" style="1"/>
    <col min="17" max="17" width="16" customWidth="1"/>
    <col min="18" max="18" width="16.58203125" customWidth="1"/>
    <col min="19" max="19" width="14.83203125" customWidth="1"/>
    <col min="21" max="21" width="16.5" customWidth="1"/>
    <col min="22" max="22" width="13.5" customWidth="1"/>
    <col min="23" max="23" width="11.33203125" customWidth="1"/>
    <col min="24" max="35" width="10.83203125" style="1"/>
  </cols>
  <sheetData>
    <row r="1" spans="2:23" s="1" customFormat="1" x14ac:dyDescent="0.35"/>
    <row r="2" spans="2:23" s="1" customFormat="1" ht="31" x14ac:dyDescent="0.7">
      <c r="B2" s="113" t="s">
        <v>0</v>
      </c>
      <c r="I2"/>
    </row>
    <row r="3" spans="2:23" s="1" customFormat="1" ht="21" x14ac:dyDescent="0.5">
      <c r="B3" s="114" t="s">
        <v>236</v>
      </c>
      <c r="C3" s="112"/>
      <c r="D3" s="112"/>
      <c r="E3" s="112"/>
      <c r="F3" s="112"/>
      <c r="G3" s="112"/>
      <c r="H3" s="112"/>
      <c r="I3" s="112"/>
    </row>
    <row r="4" spans="2:23" s="1" customFormat="1" ht="16" thickBot="1" x14ac:dyDescent="0.4"/>
    <row r="5" spans="2:23" s="1" customFormat="1" ht="19" thickBot="1" x14ac:dyDescent="0.5">
      <c r="B5" s="175" t="s">
        <v>182</v>
      </c>
    </row>
    <row r="6" spans="2:23" s="1" customFormat="1" ht="18.5" x14ac:dyDescent="0.45">
      <c r="B6" s="176" t="s">
        <v>181</v>
      </c>
    </row>
    <row r="7" spans="2:23" s="1" customFormat="1" ht="18.5" x14ac:dyDescent="0.45">
      <c r="B7" s="177" t="s">
        <v>182</v>
      </c>
    </row>
    <row r="8" spans="2:23" s="1" customFormat="1" x14ac:dyDescent="0.35"/>
    <row r="9" spans="2:23" s="1" customFormat="1" ht="16" thickBot="1" x14ac:dyDescent="0.4"/>
    <row r="10" spans="2:23" s="1" customFormat="1" ht="16" thickBot="1" x14ac:dyDescent="0.4">
      <c r="B10" s="2" t="s">
        <v>1</v>
      </c>
      <c r="C10" s="3"/>
    </row>
    <row r="11" spans="2:23" s="1" customFormat="1" ht="16" thickBot="1" x14ac:dyDescent="0.4">
      <c r="B11" s="2" t="s">
        <v>2</v>
      </c>
      <c r="C11" s="4"/>
    </row>
    <row r="12" spans="2:23" s="1" customFormat="1" ht="16" thickBot="1" x14ac:dyDescent="0.4">
      <c r="B12" s="2" t="s">
        <v>3</v>
      </c>
      <c r="C12" s="5"/>
    </row>
    <row r="13" spans="2:23" s="1" customFormat="1" ht="16" thickBot="1" x14ac:dyDescent="0.4">
      <c r="B13" s="2" t="s">
        <v>4</v>
      </c>
      <c r="C13" s="6"/>
    </row>
    <row r="14" spans="2:23" s="1" customFormat="1" x14ac:dyDescent="0.35"/>
    <row r="15" spans="2:23" ht="21" x14ac:dyDescent="0.5">
      <c r="B15" s="7" t="s">
        <v>5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Q15" s="1"/>
      <c r="R15" s="1"/>
      <c r="S15" s="1"/>
      <c r="T15" s="1"/>
      <c r="U15" s="1"/>
      <c r="V15" s="1"/>
      <c r="W15" s="1"/>
    </row>
    <row r="16" spans="2:23" s="1" customFormat="1" ht="16" thickBot="1" x14ac:dyDescent="0.4"/>
    <row r="17" spans="2:35" ht="19" customHeight="1" thickBot="1" x14ac:dyDescent="0.4">
      <c r="B17" s="121" t="s">
        <v>6</v>
      </c>
      <c r="C17" s="252" t="s">
        <v>7</v>
      </c>
      <c r="D17" s="254" t="s">
        <v>8</v>
      </c>
      <c r="E17" s="255"/>
      <c r="F17" s="252" t="s">
        <v>9</v>
      </c>
      <c r="G17" s="252" t="s">
        <v>10</v>
      </c>
      <c r="H17" s="252" t="s">
        <v>11</v>
      </c>
      <c r="I17" s="254" t="s">
        <v>12</v>
      </c>
      <c r="J17" s="255"/>
      <c r="K17" s="252" t="s">
        <v>13</v>
      </c>
      <c r="Q17" s="1"/>
      <c r="R17" s="1"/>
      <c r="S17" s="1"/>
      <c r="T17" s="1"/>
      <c r="U17" s="1"/>
      <c r="V17" s="1"/>
      <c r="W17" s="1"/>
      <c r="AH17"/>
      <c r="AI17"/>
    </row>
    <row r="18" spans="2:35" ht="16" thickBot="1" x14ac:dyDescent="0.4">
      <c r="B18" s="118"/>
      <c r="C18" s="253"/>
      <c r="D18" s="9" t="s">
        <v>14</v>
      </c>
      <c r="E18" s="9" t="s">
        <v>15</v>
      </c>
      <c r="F18" s="253"/>
      <c r="G18" s="253"/>
      <c r="H18" s="253"/>
      <c r="I18" s="9" t="s">
        <v>16</v>
      </c>
      <c r="J18" s="9" t="s">
        <v>17</v>
      </c>
      <c r="K18" s="253"/>
      <c r="Q18" s="1"/>
      <c r="R18" s="1"/>
      <c r="S18" s="1"/>
      <c r="T18" s="1"/>
      <c r="U18" s="1"/>
      <c r="V18" s="1"/>
      <c r="W18" s="1"/>
      <c r="AH18"/>
      <c r="AI18"/>
    </row>
    <row r="19" spans="2:35" ht="18" thickBot="1" x14ac:dyDescent="0.4">
      <c r="B19" s="187" t="s">
        <v>193</v>
      </c>
      <c r="C19" s="186"/>
      <c r="D19" s="156"/>
      <c r="E19" s="191">
        <v>2</v>
      </c>
      <c r="F19" s="192">
        <v>250000</v>
      </c>
      <c r="G19" s="125">
        <f>E19*I19</f>
        <v>6</v>
      </c>
      <c r="H19" s="102">
        <f>G19/K19</f>
        <v>7.5</v>
      </c>
      <c r="I19" s="227">
        <v>3</v>
      </c>
      <c r="J19" s="126">
        <v>365</v>
      </c>
      <c r="K19" s="155">
        <v>0.8</v>
      </c>
      <c r="Q19" s="1"/>
      <c r="R19" s="1"/>
      <c r="S19" s="1"/>
      <c r="T19" s="1"/>
      <c r="U19" s="1"/>
      <c r="V19" s="1"/>
      <c r="W19" s="1"/>
      <c r="AH19"/>
      <c r="AI19"/>
    </row>
    <row r="20" spans="2:35" ht="18" thickBot="1" x14ac:dyDescent="0.4">
      <c r="B20" s="187" t="s">
        <v>194</v>
      </c>
      <c r="C20" s="186"/>
      <c r="D20" s="156"/>
      <c r="E20" s="191">
        <v>1</v>
      </c>
      <c r="F20" s="192">
        <v>40000</v>
      </c>
      <c r="G20" s="125">
        <f t="shared" ref="G20:G21" si="0">E20*I20</f>
        <v>6</v>
      </c>
      <c r="H20" s="102">
        <f>G20/K20</f>
        <v>7.5</v>
      </c>
      <c r="I20" s="227">
        <v>6</v>
      </c>
      <c r="J20" s="126"/>
      <c r="K20" s="155">
        <v>0.8</v>
      </c>
      <c r="Q20" s="1"/>
      <c r="R20" s="1"/>
      <c r="S20" s="1"/>
      <c r="T20" s="1"/>
      <c r="U20" s="1"/>
      <c r="V20" s="1"/>
      <c r="W20" s="1"/>
      <c r="AH20"/>
      <c r="AI20"/>
    </row>
    <row r="21" spans="2:35" ht="17.149999999999999" customHeight="1" thickBot="1" x14ac:dyDescent="0.4">
      <c r="B21" s="187" t="s">
        <v>195</v>
      </c>
      <c r="C21" s="225"/>
      <c r="D21" s="226"/>
      <c r="E21" s="191">
        <v>1</v>
      </c>
      <c r="F21" s="192">
        <f>100000</f>
        <v>100000</v>
      </c>
      <c r="G21" s="125">
        <f t="shared" si="0"/>
        <v>6</v>
      </c>
      <c r="H21" s="102">
        <f t="shared" ref="H21" si="1">G21/K21</f>
        <v>7.5</v>
      </c>
      <c r="I21" s="191">
        <v>6</v>
      </c>
      <c r="J21" s="11"/>
      <c r="K21" s="155">
        <v>0.8</v>
      </c>
      <c r="Q21" s="1"/>
      <c r="R21" s="1"/>
      <c r="S21" s="1"/>
      <c r="T21" s="1"/>
      <c r="U21" s="1"/>
      <c r="V21" s="1"/>
      <c r="W21" s="1"/>
      <c r="AH21"/>
      <c r="AI21"/>
    </row>
    <row r="22" spans="2:35" ht="17.149999999999999" customHeight="1" thickBot="1" x14ac:dyDescent="0.4">
      <c r="B22" s="10"/>
      <c r="C22" s="101"/>
      <c r="D22" s="101"/>
      <c r="E22" s="193"/>
      <c r="F22" s="194"/>
      <c r="G22" s="125"/>
      <c r="H22" s="101"/>
      <c r="I22" s="101">
        <v>6</v>
      </c>
      <c r="J22" s="101"/>
      <c r="K22" s="101"/>
      <c r="Q22" s="1"/>
      <c r="R22" s="1"/>
      <c r="S22" s="1"/>
      <c r="T22" s="1"/>
      <c r="U22" s="1"/>
      <c r="V22" s="1"/>
      <c r="W22" s="1"/>
      <c r="AH22"/>
      <c r="AI22"/>
    </row>
    <row r="23" spans="2:35" s="1" customFormat="1" x14ac:dyDescent="0.35"/>
    <row r="24" spans="2:35" s="1" customFormat="1" x14ac:dyDescent="0.35"/>
    <row r="25" spans="2:35" s="1" customFormat="1" ht="16" hidden="1" thickBot="1" x14ac:dyDescent="0.4">
      <c r="B25" s="12" t="s">
        <v>186</v>
      </c>
    </row>
    <row r="26" spans="2:35" s="1" customFormat="1" ht="16" hidden="1" thickBot="1" x14ac:dyDescent="0.4">
      <c r="B26" s="179" t="s">
        <v>183</v>
      </c>
      <c r="C26" s="179" t="s">
        <v>185</v>
      </c>
      <c r="D26" s="179" t="s">
        <v>184</v>
      </c>
    </row>
    <row r="27" spans="2:35" s="1" customFormat="1" ht="16" hidden="1" thickBot="1" x14ac:dyDescent="0.4">
      <c r="B27" s="211" t="s">
        <v>197</v>
      </c>
      <c r="C27" s="180">
        <v>1</v>
      </c>
      <c r="D27" s="211">
        <v>1500000</v>
      </c>
    </row>
    <row r="28" spans="2:35" s="1" customFormat="1" ht="16" hidden="1" thickBot="1" x14ac:dyDescent="0.4">
      <c r="B28" s="211" t="s">
        <v>198</v>
      </c>
      <c r="C28" s="180">
        <v>1</v>
      </c>
      <c r="D28" s="211">
        <v>500000</v>
      </c>
    </row>
    <row r="29" spans="2:35" s="1" customFormat="1" ht="31.5" hidden="1" thickBot="1" x14ac:dyDescent="0.4">
      <c r="B29" s="211" t="s">
        <v>199</v>
      </c>
      <c r="C29" s="180">
        <v>1</v>
      </c>
      <c r="D29" s="211">
        <v>1500000</v>
      </c>
    </row>
    <row r="30" spans="2:35" s="1" customFormat="1" ht="16" hidden="1" thickBot="1" x14ac:dyDescent="0.4">
      <c r="B30" s="211" t="s">
        <v>200</v>
      </c>
      <c r="C30" s="180">
        <v>1</v>
      </c>
      <c r="D30" s="211">
        <v>160000</v>
      </c>
    </row>
    <row r="31" spans="2:35" s="1" customFormat="1" ht="16" hidden="1" thickBot="1" x14ac:dyDescent="0.4">
      <c r="B31" s="211" t="s">
        <v>196</v>
      </c>
      <c r="C31" s="180">
        <v>1</v>
      </c>
      <c r="D31" s="211">
        <v>40000</v>
      </c>
    </row>
    <row r="32" spans="2:35" s="1" customFormat="1" ht="16" hidden="1" thickBot="1" x14ac:dyDescent="0.4">
      <c r="B32" s="216" t="s">
        <v>192</v>
      </c>
      <c r="C32" s="180">
        <v>1</v>
      </c>
      <c r="D32" s="217">
        <v>2618801</v>
      </c>
    </row>
    <row r="33" spans="2:15" s="1" customFormat="1" ht="16" hidden="1" thickBot="1" x14ac:dyDescent="0.4">
      <c r="B33" s="178"/>
      <c r="C33" s="180"/>
      <c r="D33" s="180"/>
    </row>
    <row r="34" spans="2:15" s="1" customFormat="1" ht="16" thickBot="1" x14ac:dyDescent="0.4">
      <c r="B34" s="115"/>
      <c r="D34" s="117"/>
    </row>
    <row r="35" spans="2:15" s="1" customFormat="1" ht="30.5" thickBot="1" x14ac:dyDescent="0.5">
      <c r="B35" s="122" t="s">
        <v>18</v>
      </c>
      <c r="C35" s="123" t="s">
        <v>8</v>
      </c>
      <c r="D35" s="123" t="s">
        <v>9</v>
      </c>
      <c r="E35" s="123" t="s">
        <v>19</v>
      </c>
      <c r="F35" s="123" t="s">
        <v>20</v>
      </c>
      <c r="H35" s="122" t="s">
        <v>21</v>
      </c>
      <c r="I35" s="123" t="s">
        <v>22</v>
      </c>
      <c r="J35" s="123" t="s">
        <v>9</v>
      </c>
      <c r="K35" s="123" t="s">
        <v>20</v>
      </c>
      <c r="L35" s="123" t="s">
        <v>23</v>
      </c>
      <c r="M35" s="147" t="s">
        <v>24</v>
      </c>
    </row>
    <row r="36" spans="2:15" s="1" customFormat="1" ht="29.5" customHeight="1" thickBot="1" x14ac:dyDescent="0.4">
      <c r="B36" s="10" t="s">
        <v>230</v>
      </c>
      <c r="C36" s="124">
        <v>0.375</v>
      </c>
      <c r="D36" s="104">
        <v>97987</v>
      </c>
      <c r="E36" s="125">
        <v>0.6</v>
      </c>
      <c r="F36" s="125" t="s">
        <v>25</v>
      </c>
      <c r="H36" s="10" t="s">
        <v>228</v>
      </c>
      <c r="I36" s="126">
        <v>185</v>
      </c>
      <c r="J36" s="104">
        <v>433902</v>
      </c>
      <c r="K36" s="104">
        <v>12</v>
      </c>
      <c r="L36" s="104">
        <v>10</v>
      </c>
    </row>
    <row r="37" spans="2:15" s="1" customFormat="1" ht="17" thickBot="1" x14ac:dyDescent="0.4">
      <c r="B37" s="196" t="s">
        <v>26</v>
      </c>
      <c r="C37" s="181">
        <v>0.3</v>
      </c>
      <c r="D37" s="182">
        <v>100000</v>
      </c>
      <c r="E37" s="127">
        <v>0.6</v>
      </c>
      <c r="F37" s="127" t="s">
        <v>25</v>
      </c>
      <c r="H37" s="196" t="s">
        <v>27</v>
      </c>
      <c r="I37" s="133">
        <v>265</v>
      </c>
      <c r="J37" s="103"/>
      <c r="K37" s="103">
        <v>12</v>
      </c>
      <c r="L37" s="104">
        <v>10</v>
      </c>
    </row>
    <row r="38" spans="2:15" s="1" customFormat="1" x14ac:dyDescent="0.35">
      <c r="B38" s="152"/>
      <c r="C38" s="2"/>
      <c r="H38" s="140" t="s">
        <v>28</v>
      </c>
      <c r="I38" s="139">
        <f>IF(J38&lt;0.5,12,IF(AND(J38&gt;=0.5,J38&lt;2),24,IF(J38&gt;=2,48)))</f>
        <v>48</v>
      </c>
      <c r="J38" s="153">
        <f>F84*INDEX(C:C,MATCH(F62,B:B,0))</f>
        <v>4.125</v>
      </c>
    </row>
    <row r="39" spans="2:15" s="1" customFormat="1" ht="16" thickBot="1" x14ac:dyDescent="0.4"/>
    <row r="40" spans="2:15" s="1" customFormat="1" ht="19" thickBot="1" x14ac:dyDescent="0.5">
      <c r="B40" s="122" t="s">
        <v>191</v>
      </c>
      <c r="C40" s="164" t="s">
        <v>29</v>
      </c>
      <c r="D40" s="123" t="s">
        <v>9</v>
      </c>
      <c r="H40" s="122" t="s">
        <v>30</v>
      </c>
      <c r="I40" s="164" t="s">
        <v>226</v>
      </c>
      <c r="J40" s="123" t="s">
        <v>9</v>
      </c>
      <c r="K40" s="123" t="s">
        <v>20</v>
      </c>
    </row>
    <row r="41" spans="2:15" s="1" customFormat="1" ht="33.5" thickBot="1" x14ac:dyDescent="0.4">
      <c r="B41" s="228" t="s">
        <v>232</v>
      </c>
      <c r="C41" s="126">
        <v>2</v>
      </c>
      <c r="D41" s="104">
        <v>2116221</v>
      </c>
      <c r="H41" s="10" t="s">
        <v>31</v>
      </c>
      <c r="I41" s="126">
        <v>35</v>
      </c>
      <c r="J41" s="104">
        <v>220000</v>
      </c>
      <c r="K41" s="104" t="s">
        <v>32</v>
      </c>
    </row>
    <row r="42" spans="2:15" s="1" customFormat="1" ht="25" customHeight="1" thickBot="1" x14ac:dyDescent="0.4">
      <c r="B42" s="229" t="s">
        <v>224</v>
      </c>
      <c r="C42" s="230">
        <v>5</v>
      </c>
      <c r="D42" s="195">
        <v>1426500</v>
      </c>
      <c r="H42" s="196" t="s">
        <v>225</v>
      </c>
      <c r="I42" s="197">
        <v>100</v>
      </c>
      <c r="J42" s="182">
        <v>400000</v>
      </c>
      <c r="K42" s="104" t="s">
        <v>32</v>
      </c>
    </row>
    <row r="43" spans="2:15" s="1" customFormat="1" x14ac:dyDescent="0.35"/>
    <row r="44" spans="2:15" s="1" customFormat="1" ht="19" thickBot="1" x14ac:dyDescent="0.5">
      <c r="B44" s="122" t="s">
        <v>33</v>
      </c>
    </row>
    <row r="45" spans="2:15" s="98" customFormat="1" ht="16" thickBot="1" x14ac:dyDescent="0.4">
      <c r="B45" s="135" t="s">
        <v>34</v>
      </c>
      <c r="C45" s="136" t="s">
        <v>35</v>
      </c>
      <c r="D45" s="136" t="s">
        <v>36</v>
      </c>
      <c r="E45" s="136" t="s">
        <v>37</v>
      </c>
      <c r="F45" s="136" t="s">
        <v>38</v>
      </c>
      <c r="G45" s="136" t="s">
        <v>39</v>
      </c>
      <c r="H45" s="136" t="s">
        <v>40</v>
      </c>
      <c r="I45" s="136" t="s">
        <v>41</v>
      </c>
      <c r="J45" s="136" t="s">
        <v>42</v>
      </c>
      <c r="K45" s="136" t="s">
        <v>43</v>
      </c>
      <c r="L45" s="136" t="s">
        <v>44</v>
      </c>
      <c r="M45" s="136" t="s">
        <v>45</v>
      </c>
      <c r="N45" s="136" t="s">
        <v>46</v>
      </c>
      <c r="O45" s="135" t="s">
        <v>47</v>
      </c>
    </row>
    <row r="46" spans="2:15" s="98" customFormat="1" ht="16" thickBot="1" x14ac:dyDescent="0.4">
      <c r="B46" s="135" t="s">
        <v>48</v>
      </c>
      <c r="C46" s="137">
        <v>5.12</v>
      </c>
      <c r="D46" s="137">
        <v>5.75</v>
      </c>
      <c r="E46" s="137">
        <v>6.37</v>
      </c>
      <c r="F46" s="137">
        <v>6.61</v>
      </c>
      <c r="G46" s="137">
        <v>6.34</v>
      </c>
      <c r="H46" s="137">
        <v>6.05</v>
      </c>
      <c r="I46" s="137">
        <v>6.26</v>
      </c>
      <c r="J46" s="137">
        <v>5.51</v>
      </c>
      <c r="K46" s="137">
        <v>6.03</v>
      </c>
      <c r="L46" s="137">
        <v>5.81</v>
      </c>
      <c r="M46" s="137">
        <v>5.226</v>
      </c>
      <c r="N46" s="137">
        <v>5.03</v>
      </c>
      <c r="O46" s="138">
        <f>IF('Table rentabilité'!G72="x",MAX(C46:N46),IF('Table rentabilité'!G73="x",MIN(C46:N46),IF('Table rentabilité'!G74="x",AVERAGE(C46:N46),"erreur")))</f>
        <v>5.8421666666666674</v>
      </c>
    </row>
    <row r="47" spans="2:15" s="1" customFormat="1" x14ac:dyDescent="0.35"/>
    <row r="48" spans="2:15" s="1" customFormat="1" ht="19" thickBot="1" x14ac:dyDescent="0.5">
      <c r="B48" s="122" t="s">
        <v>49</v>
      </c>
      <c r="D48" s="158" t="s">
        <v>50</v>
      </c>
      <c r="E48" s="158" t="s">
        <v>51</v>
      </c>
      <c r="F48" s="158" t="s">
        <v>52</v>
      </c>
      <c r="J48" s="158" t="s">
        <v>50</v>
      </c>
      <c r="K48" s="158" t="s">
        <v>51</v>
      </c>
      <c r="L48" s="158" t="s">
        <v>52</v>
      </c>
      <c r="M48" s="158" t="s">
        <v>53</v>
      </c>
    </row>
    <row r="49" spans="2:23" s="1" customFormat="1" ht="16" thickBot="1" x14ac:dyDescent="0.4">
      <c r="B49" s="244" t="s">
        <v>54</v>
      </c>
      <c r="C49" s="159" t="s">
        <v>55</v>
      </c>
      <c r="D49" s="160">
        <v>50</v>
      </c>
      <c r="E49" s="160">
        <v>500</v>
      </c>
      <c r="F49" s="160" t="s">
        <v>56</v>
      </c>
      <c r="H49" s="244" t="s">
        <v>54</v>
      </c>
      <c r="I49" s="159" t="s">
        <v>57</v>
      </c>
      <c r="J49" s="160">
        <f>(F77*30)-SUM(K49:L49)</f>
        <v>50</v>
      </c>
      <c r="K49" s="160">
        <f>IF((F77*30)&gt;D49,(F77*30)-D49-L49,0)</f>
        <v>450</v>
      </c>
      <c r="L49" s="161">
        <f>IF((F77*30)&gt;E49,(F77*30)-E49,0)</f>
        <v>40</v>
      </c>
      <c r="M49" s="161">
        <f>SUM(J49:L49)</f>
        <v>540</v>
      </c>
    </row>
    <row r="50" spans="2:23" s="1" customFormat="1" ht="16" thickBot="1" x14ac:dyDescent="0.4">
      <c r="B50" s="245"/>
      <c r="C50" s="159" t="s">
        <v>58</v>
      </c>
      <c r="D50" s="160">
        <v>128.85</v>
      </c>
      <c r="E50" s="160">
        <v>135.68</v>
      </c>
      <c r="F50" s="160">
        <v>147.68</v>
      </c>
      <c r="H50" s="245"/>
      <c r="I50" s="159" t="s">
        <v>59</v>
      </c>
      <c r="J50" s="161">
        <f>J49*D50</f>
        <v>6442.5</v>
      </c>
      <c r="K50" s="161">
        <f t="shared" ref="K50" si="2">K49*E50</f>
        <v>61056</v>
      </c>
      <c r="L50" s="161">
        <f>L49*F50</f>
        <v>5907.2000000000007</v>
      </c>
      <c r="M50" s="161">
        <f t="shared" ref="M50:M52" si="3">SUM(J50:L50)</f>
        <v>73405.7</v>
      </c>
    </row>
    <row r="51" spans="2:23" s="1" customFormat="1" ht="16" thickBot="1" x14ac:dyDescent="0.4">
      <c r="B51" s="244" t="s">
        <v>60</v>
      </c>
      <c r="C51" s="159" t="s">
        <v>61</v>
      </c>
      <c r="D51" s="160">
        <v>100</v>
      </c>
      <c r="E51" s="160">
        <v>500</v>
      </c>
      <c r="F51" s="160" t="s">
        <v>56</v>
      </c>
      <c r="H51" s="244" t="s">
        <v>60</v>
      </c>
      <c r="I51" s="159" t="s">
        <v>57</v>
      </c>
      <c r="J51" s="160">
        <f>(F77*30)-SUM(K51:L51)</f>
        <v>100</v>
      </c>
      <c r="K51" s="160">
        <f>IF((F77*30)&gt;D51,(F77*30)-D51-L51,0)</f>
        <v>400</v>
      </c>
      <c r="L51" s="161">
        <f>IF((F77*30)&gt;E51,(F77*30)-E51,0)</f>
        <v>40</v>
      </c>
      <c r="M51" s="161">
        <f t="shared" si="3"/>
        <v>540</v>
      </c>
    </row>
    <row r="52" spans="2:23" s="1" customFormat="1" ht="16" thickBot="1" x14ac:dyDescent="0.4">
      <c r="B52" s="245"/>
      <c r="C52" s="159" t="s">
        <v>58</v>
      </c>
      <c r="D52" s="160">
        <v>129.81</v>
      </c>
      <c r="E52" s="160">
        <v>136.53</v>
      </c>
      <c r="F52" s="160">
        <v>149.24</v>
      </c>
      <c r="H52" s="245"/>
      <c r="I52" s="159" t="s">
        <v>59</v>
      </c>
      <c r="J52" s="161">
        <f>J51*D52</f>
        <v>12981</v>
      </c>
      <c r="K52" s="161">
        <f t="shared" ref="K52:L52" si="4">K51*E52</f>
        <v>54612</v>
      </c>
      <c r="L52" s="161">
        <f t="shared" si="4"/>
        <v>5969.6</v>
      </c>
      <c r="M52" s="161">
        <f t="shared" si="3"/>
        <v>73562.600000000006</v>
      </c>
    </row>
    <row r="53" spans="2:23" s="1" customFormat="1" x14ac:dyDescent="0.35"/>
    <row r="54" spans="2:23" ht="21" x14ac:dyDescent="0.5">
      <c r="B54" s="7" t="s">
        <v>62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Q54" s="1"/>
      <c r="R54" s="1"/>
      <c r="S54" s="1"/>
      <c r="T54" s="1"/>
      <c r="U54" s="1"/>
      <c r="V54" s="1"/>
      <c r="W54" s="1"/>
    </row>
    <row r="55" spans="2:23" s="1" customFormat="1" ht="16" thickBot="1" x14ac:dyDescent="0.4"/>
    <row r="56" spans="2:23" s="1" customFormat="1" ht="16" thickBot="1" x14ac:dyDescent="0.4">
      <c r="B56" s="12" t="s">
        <v>234</v>
      </c>
      <c r="F56" s="184">
        <f>INDEX(C:C,MATCH($F$61,B:B,0))*INDEX(I:I,MATCH($F$61,B:B,0))</f>
        <v>0</v>
      </c>
      <c r="G56" s="184"/>
    </row>
    <row r="57" spans="2:23" s="1" customFormat="1" ht="16" thickBot="1" x14ac:dyDescent="0.4">
      <c r="B57" s="12" t="s">
        <v>235</v>
      </c>
      <c r="F57" s="165">
        <v>9</v>
      </c>
      <c r="G57" s="166"/>
    </row>
    <row r="58" spans="2:23" s="1" customFormat="1" ht="8.5" customHeight="1" thickBot="1" x14ac:dyDescent="0.4">
      <c r="B58" s="12"/>
      <c r="F58" s="130"/>
      <c r="G58" s="130"/>
    </row>
    <row r="59" spans="2:23" s="1" customFormat="1" ht="15.5" customHeight="1" thickBot="1" x14ac:dyDescent="0.4">
      <c r="B59" s="12" t="s">
        <v>217</v>
      </c>
      <c r="F59" s="188" t="s">
        <v>193</v>
      </c>
      <c r="G59" s="129"/>
    </row>
    <row r="60" spans="2:23" s="1" customFormat="1" ht="15.5" customHeight="1" thickBot="1" x14ac:dyDescent="0.4">
      <c r="B60" s="12" t="s">
        <v>218</v>
      </c>
      <c r="F60" s="188" t="s">
        <v>194</v>
      </c>
      <c r="G60" s="129"/>
    </row>
    <row r="61" spans="2:23" s="1" customFormat="1" ht="16" thickBot="1" x14ac:dyDescent="0.4">
      <c r="B61" s="12" t="s">
        <v>219</v>
      </c>
      <c r="F61" s="188" t="s">
        <v>195</v>
      </c>
      <c r="G61" s="129"/>
    </row>
    <row r="62" spans="2:23" s="1" customFormat="1" ht="16" thickBot="1" x14ac:dyDescent="0.4">
      <c r="B62" s="12" t="s">
        <v>63</v>
      </c>
      <c r="F62" s="128" t="s">
        <v>230</v>
      </c>
      <c r="G62" s="129"/>
    </row>
    <row r="63" spans="2:23" s="1" customFormat="1" ht="16" thickBot="1" x14ac:dyDescent="0.4">
      <c r="B63" s="12" t="s">
        <v>64</v>
      </c>
      <c r="F63" s="128" t="s">
        <v>228</v>
      </c>
      <c r="G63" s="129"/>
    </row>
    <row r="64" spans="2:23" s="1" customFormat="1" ht="16" thickBot="1" x14ac:dyDescent="0.4">
      <c r="B64" s="12" t="s">
        <v>227</v>
      </c>
      <c r="F64" s="128" t="s">
        <v>237</v>
      </c>
      <c r="G64" s="129"/>
    </row>
    <row r="65" spans="2:7" s="1" customFormat="1" ht="16" thickBot="1" x14ac:dyDescent="0.4">
      <c r="B65" s="12" t="s">
        <v>65</v>
      </c>
      <c r="F65" s="128" t="s">
        <v>229</v>
      </c>
      <c r="G65" s="189"/>
    </row>
    <row r="66" spans="2:7" s="1" customFormat="1" ht="16" hidden="1" thickBot="1" x14ac:dyDescent="0.4">
      <c r="B66" s="12" t="s">
        <v>66</v>
      </c>
      <c r="F66" s="248"/>
      <c r="G66" s="249"/>
    </row>
    <row r="67" spans="2:7" s="1" customFormat="1" ht="16" thickBot="1" x14ac:dyDescent="0.4">
      <c r="B67" s="12" t="s">
        <v>231</v>
      </c>
      <c r="F67" s="248" t="str">
        <f>IF(M50&lt;M52,B49,B51)</f>
        <v>UP-Petite Puissance</v>
      </c>
      <c r="G67" s="249"/>
    </row>
    <row r="68" spans="2:7" s="1" customFormat="1" ht="5.15" customHeight="1" thickBot="1" x14ac:dyDescent="0.4">
      <c r="B68" s="12"/>
      <c r="F68" s="130"/>
      <c r="G68" s="130"/>
    </row>
    <row r="69" spans="2:7" s="1" customFormat="1" ht="16" thickBot="1" x14ac:dyDescent="0.4">
      <c r="B69" s="12" t="s">
        <v>67</v>
      </c>
      <c r="F69" s="248">
        <v>1</v>
      </c>
      <c r="G69" s="249"/>
    </row>
    <row r="70" spans="2:7" s="1" customFormat="1" ht="16" thickBot="1" x14ac:dyDescent="0.4">
      <c r="B70" s="12" t="s">
        <v>68</v>
      </c>
      <c r="F70" s="148">
        <v>0.8</v>
      </c>
      <c r="G70" s="149"/>
    </row>
    <row r="71" spans="2:7" s="1" customFormat="1" ht="5.15" customHeight="1" thickBot="1" x14ac:dyDescent="0.4">
      <c r="B71" s="12"/>
      <c r="F71" s="130"/>
      <c r="G71" s="130"/>
    </row>
    <row r="72" spans="2:7" s="1" customFormat="1" ht="16" thickBot="1" x14ac:dyDescent="0.4">
      <c r="B72" s="12" t="s">
        <v>69</v>
      </c>
      <c r="F72" s="131" t="s">
        <v>70</v>
      </c>
      <c r="G72" s="132"/>
    </row>
    <row r="73" spans="2:7" s="1" customFormat="1" ht="16" thickBot="1" x14ac:dyDescent="0.4">
      <c r="B73" s="12"/>
      <c r="F73" s="131" t="s">
        <v>71</v>
      </c>
      <c r="G73" s="132"/>
    </row>
    <row r="74" spans="2:7" s="1" customFormat="1" ht="16" thickBot="1" x14ac:dyDescent="0.4">
      <c r="B74" s="12"/>
      <c r="F74" s="131" t="s">
        <v>72</v>
      </c>
      <c r="G74" s="132" t="s">
        <v>73</v>
      </c>
    </row>
    <row r="75" spans="2:7" s="1" customFormat="1" ht="5.15" customHeight="1" thickBot="1" x14ac:dyDescent="0.4">
      <c r="B75" s="12"/>
      <c r="F75" s="130"/>
      <c r="G75" s="130"/>
    </row>
    <row r="76" spans="2:7" s="1" customFormat="1" ht="17.5" customHeight="1" thickBot="1" x14ac:dyDescent="0.4">
      <c r="B76" s="12" t="s">
        <v>189</v>
      </c>
      <c r="F76" s="183">
        <f>SUM(E19:E21)*1.2</f>
        <v>4.8</v>
      </c>
      <c r="G76" s="183"/>
    </row>
    <row r="77" spans="2:7" s="1" customFormat="1" ht="17.149999999999999" customHeight="1" thickBot="1" x14ac:dyDescent="0.4">
      <c r="B77" s="12" t="s">
        <v>74</v>
      </c>
      <c r="F77" s="168">
        <f>G19+G20+G21+G22</f>
        <v>18</v>
      </c>
      <c r="G77" s="143" t="s">
        <v>75</v>
      </c>
    </row>
    <row r="78" spans="2:7" s="1" customFormat="1" ht="16" thickBot="1" x14ac:dyDescent="0.4">
      <c r="B78" s="12" t="s">
        <v>76</v>
      </c>
      <c r="F78" s="250">
        <f>(INDEX(H:H,MATCH(F61,B:B,0))+INDEX(H:H,MATCH(F61,B:B,0))+INDEX(H:H,MATCH(F61,B:B,0)))/O46</f>
        <v>3.8513108721079505</v>
      </c>
      <c r="G78" s="251"/>
    </row>
    <row r="79" spans="2:7" s="1" customFormat="1" ht="16" thickBot="1" x14ac:dyDescent="0.4">
      <c r="B79" s="12" t="s">
        <v>77</v>
      </c>
      <c r="F79" s="141">
        <f>(((G19+G20+G21)*1000)*(F69))/(F70*I38)</f>
        <v>468.74999999999994</v>
      </c>
      <c r="G79" s="143"/>
    </row>
    <row r="80" spans="2:7" s="1" customFormat="1" ht="5.15" customHeight="1" thickBot="1" x14ac:dyDescent="0.4">
      <c r="B80" s="12"/>
      <c r="F80" s="130"/>
      <c r="G80" s="130"/>
    </row>
    <row r="81" spans="2:23" s="1" customFormat="1" ht="16" thickBot="1" x14ac:dyDescent="0.4">
      <c r="B81" s="12" t="s">
        <v>220</v>
      </c>
      <c r="F81" s="142">
        <v>1</v>
      </c>
      <c r="G81" s="154" t="s">
        <v>78</v>
      </c>
    </row>
    <row r="82" spans="2:23" s="1" customFormat="1" ht="16" thickBot="1" x14ac:dyDescent="0.4">
      <c r="B82" s="12" t="s">
        <v>221</v>
      </c>
      <c r="F82" s="142">
        <v>1</v>
      </c>
      <c r="G82" s="154"/>
    </row>
    <row r="83" spans="2:23" s="1" customFormat="1" ht="16" thickBot="1" x14ac:dyDescent="0.4">
      <c r="B83" s="12" t="s">
        <v>222</v>
      </c>
      <c r="F83" s="142">
        <v>1</v>
      </c>
      <c r="G83" s="154" t="s">
        <v>78</v>
      </c>
    </row>
    <row r="84" spans="2:23" s="1" customFormat="1" ht="16" thickBot="1" x14ac:dyDescent="0.4">
      <c r="B84" s="12" t="s">
        <v>79</v>
      </c>
      <c r="F84" s="141">
        <f>ROUNDUP(F78/INDEX(C:C,MATCH(F62,B:B,0)),0)</f>
        <v>11</v>
      </c>
      <c r="G84" s="150" t="s">
        <v>78</v>
      </c>
      <c r="H84" s="162"/>
    </row>
    <row r="85" spans="2:23" s="1" customFormat="1" ht="16" thickBot="1" x14ac:dyDescent="0.4">
      <c r="B85" s="12" t="s">
        <v>80</v>
      </c>
      <c r="F85" s="141">
        <f>ROUNDUP(I38/INDEX(K:K,MATCH(F63,H:H,0)),0)</f>
        <v>4</v>
      </c>
      <c r="G85" s="150" t="s">
        <v>78</v>
      </c>
      <c r="H85" s="162"/>
    </row>
    <row r="86" spans="2:23" s="1" customFormat="1" ht="16" thickBot="1" x14ac:dyDescent="0.4">
      <c r="B86" s="12" t="s">
        <v>81</v>
      </c>
      <c r="F86" s="141">
        <f>ROUNDUP(F79/INDEX(I:I,MATCH(F63,H:H,0)),0)</f>
        <v>3</v>
      </c>
      <c r="G86" s="150" t="s">
        <v>78</v>
      </c>
      <c r="H86" s="162"/>
    </row>
    <row r="87" spans="2:23" s="1" customFormat="1" ht="16" thickBot="1" x14ac:dyDescent="0.4">
      <c r="B87" s="12" t="s">
        <v>82</v>
      </c>
      <c r="F87" s="141">
        <f>F85*F86</f>
        <v>12</v>
      </c>
      <c r="G87" s="150" t="s">
        <v>78</v>
      </c>
    </row>
    <row r="88" spans="2:23" s="1" customFormat="1" ht="16" thickBot="1" x14ac:dyDescent="0.4">
      <c r="B88" s="12" t="s">
        <v>83</v>
      </c>
      <c r="F88" s="141">
        <f>INDEX(L:L,MATCH(F63,H:H,0))*(130%-F70)</f>
        <v>5</v>
      </c>
      <c r="G88" s="151" t="s">
        <v>84</v>
      </c>
    </row>
    <row r="89" spans="2:23" s="1" customFormat="1" ht="16" thickBot="1" x14ac:dyDescent="0.4">
      <c r="B89" s="12" t="s">
        <v>85</v>
      </c>
      <c r="F89" s="141">
        <f>IF(OR(I38=24,I38=12),1,2)</f>
        <v>2</v>
      </c>
      <c r="G89" s="150" t="s">
        <v>78</v>
      </c>
      <c r="H89" s="162"/>
    </row>
    <row r="90" spans="2:23" s="1" customFormat="1" ht="16" thickBot="1" x14ac:dyDescent="0.4">
      <c r="B90" s="12" t="s">
        <v>223</v>
      </c>
      <c r="F90" s="142">
        <v>1</v>
      </c>
      <c r="G90" s="154" t="s">
        <v>78</v>
      </c>
    </row>
    <row r="91" spans="2:23" s="1" customFormat="1" ht="5.15" customHeight="1" thickBot="1" x14ac:dyDescent="0.4">
      <c r="B91" s="12"/>
      <c r="F91" s="130"/>
      <c r="G91" s="119"/>
    </row>
    <row r="92" spans="2:23" s="1" customFormat="1" ht="16" thickBot="1" x14ac:dyDescent="0.4">
      <c r="B92" s="12" t="s">
        <v>86</v>
      </c>
      <c r="F92" s="13">
        <v>0.9</v>
      </c>
      <c r="G92" s="116"/>
    </row>
    <row r="93" spans="2:23" s="1" customFormat="1" ht="16" thickBot="1" x14ac:dyDescent="0.4">
      <c r="B93" s="12" t="s">
        <v>87</v>
      </c>
      <c r="F93" s="110">
        <v>10</v>
      </c>
      <c r="G93" s="1" t="s">
        <v>88</v>
      </c>
    </row>
    <row r="94" spans="2:23" x14ac:dyDescent="0.35">
      <c r="B94" s="12"/>
      <c r="C94" s="1"/>
      <c r="D94" s="1"/>
      <c r="E94" s="1"/>
      <c r="F94" s="1"/>
      <c r="G94" s="1"/>
      <c r="H94" s="169"/>
      <c r="I94" s="1"/>
      <c r="Q94" s="1"/>
      <c r="R94" s="1"/>
      <c r="S94" s="1"/>
      <c r="T94" s="1"/>
      <c r="U94" s="1"/>
      <c r="V94" s="1"/>
      <c r="W94" s="1"/>
    </row>
    <row r="95" spans="2:23" x14ac:dyDescent="0.35">
      <c r="B95" s="12"/>
      <c r="C95" s="1"/>
      <c r="D95" s="1"/>
      <c r="E95" s="1"/>
      <c r="F95" s="1"/>
      <c r="G95" s="1"/>
      <c r="H95" s="169"/>
      <c r="I95" s="1"/>
      <c r="Q95" s="1"/>
      <c r="R95" s="1"/>
      <c r="S95" s="1"/>
      <c r="T95" s="1"/>
      <c r="U95" s="1"/>
      <c r="V95" s="1"/>
      <c r="W95" s="1"/>
    </row>
    <row r="96" spans="2:23" s="1" customFormat="1" x14ac:dyDescent="0.35">
      <c r="B96" s="12"/>
      <c r="F96" s="14"/>
    </row>
    <row r="97" spans="2:23" s="1" customFormat="1" ht="21" x14ac:dyDescent="0.5">
      <c r="B97" s="7" t="s">
        <v>89</v>
      </c>
      <c r="C97" s="15"/>
      <c r="D97" s="15"/>
      <c r="E97" s="15"/>
      <c r="F97" s="16"/>
      <c r="G97" s="15"/>
      <c r="H97" s="15"/>
      <c r="I97" s="15"/>
      <c r="J97" s="15"/>
      <c r="K97" s="15"/>
      <c r="L97" s="15"/>
      <c r="M97" s="15"/>
      <c r="N97" s="15"/>
      <c r="O97" s="15"/>
    </row>
    <row r="98" spans="2:23" s="1" customFormat="1" ht="15.5" customHeight="1" x14ac:dyDescent="0.5">
      <c r="B98" s="17"/>
      <c r="C98" s="18"/>
      <c r="D98" s="18"/>
      <c r="E98" s="18"/>
      <c r="F98" s="19"/>
      <c r="G98" s="18"/>
      <c r="H98" s="18"/>
      <c r="I98" s="18"/>
      <c r="J98" s="18"/>
      <c r="K98" s="18"/>
      <c r="L98" s="18"/>
      <c r="M98" s="18"/>
      <c r="N98" s="18"/>
      <c r="O98" s="18"/>
    </row>
    <row r="99" spans="2:23" ht="16" thickBot="1" x14ac:dyDescent="0.4">
      <c r="B99" s="1" t="s">
        <v>108</v>
      </c>
      <c r="C99" s="1"/>
      <c r="E99" s="1"/>
      <c r="F99" s="1"/>
      <c r="G99" s="1"/>
      <c r="H99" s="1"/>
      <c r="I99" s="1"/>
      <c r="Q99" s="1"/>
      <c r="R99" s="1"/>
      <c r="S99" s="1"/>
      <c r="T99" s="1"/>
      <c r="U99" s="1"/>
      <c r="V99" s="1"/>
      <c r="W99" s="1"/>
    </row>
    <row r="100" spans="2:23" ht="16" thickBot="1" x14ac:dyDescent="0.4">
      <c r="B100" s="20" t="s">
        <v>91</v>
      </c>
      <c r="C100" s="256" t="s">
        <v>210</v>
      </c>
      <c r="D100" s="257"/>
      <c r="E100" s="167" t="s">
        <v>93</v>
      </c>
      <c r="F100" s="167" t="s">
        <v>94</v>
      </c>
      <c r="G100" s="163" t="s">
        <v>187</v>
      </c>
      <c r="H100" s="1"/>
      <c r="I100" s="1" t="s">
        <v>95</v>
      </c>
      <c r="L100" s="21">
        <v>0.01</v>
      </c>
      <c r="Q100" s="1"/>
      <c r="R100" s="1"/>
      <c r="S100" s="1"/>
      <c r="T100" s="1"/>
      <c r="U100" s="1"/>
      <c r="V100" s="1"/>
      <c r="W100" s="1"/>
    </row>
    <row r="101" spans="2:23" ht="19" thickBot="1" x14ac:dyDescent="0.5">
      <c r="B101" s="232" t="s">
        <v>201</v>
      </c>
      <c r="C101" s="236">
        <f>30</f>
        <v>30</v>
      </c>
      <c r="D101" s="236"/>
      <c r="E101" s="218">
        <f>20000</f>
        <v>20000</v>
      </c>
      <c r="F101" s="134">
        <f>E101*C101</f>
        <v>600000</v>
      </c>
      <c r="G101" s="134">
        <f>F101/12</f>
        <v>50000</v>
      </c>
      <c r="H101" s="1"/>
      <c r="I101" s="1"/>
      <c r="L101" s="21">
        <v>0</v>
      </c>
      <c r="M101" s="26"/>
      <c r="N101" s="26"/>
      <c r="O101" s="145"/>
      <c r="P101" s="26"/>
      <c r="Q101" s="146"/>
      <c r="R101" s="1"/>
      <c r="S101" s="1"/>
      <c r="T101" s="1"/>
      <c r="U101" s="1"/>
      <c r="V101" s="1"/>
      <c r="W101" s="1"/>
    </row>
    <row r="102" spans="2:23" ht="19" thickBot="1" x14ac:dyDescent="0.5">
      <c r="B102" s="232" t="s">
        <v>202</v>
      </c>
      <c r="C102" s="236">
        <f>12</f>
        <v>12</v>
      </c>
      <c r="D102" s="236"/>
      <c r="E102" s="218">
        <f>150000</f>
        <v>150000</v>
      </c>
      <c r="F102" s="134">
        <f t="shared" ref="F102:F111" si="5">E102*C102</f>
        <v>1800000</v>
      </c>
      <c r="G102" s="134">
        <f t="shared" ref="G102:G111" si="6">F102/12</f>
        <v>150000</v>
      </c>
      <c r="H102" s="1"/>
      <c r="I102" s="147"/>
      <c r="K102" s="120"/>
      <c r="L102" s="144"/>
      <c r="O102" s="86"/>
      <c r="P102" s="26"/>
      <c r="Q102" s="146"/>
      <c r="R102" s="1"/>
      <c r="S102" s="1"/>
      <c r="T102" s="1"/>
      <c r="U102" s="1"/>
      <c r="V102" s="1"/>
      <c r="W102" s="1"/>
    </row>
    <row r="103" spans="2:23" ht="19" thickBot="1" x14ac:dyDescent="0.5">
      <c r="B103" s="232" t="s">
        <v>203</v>
      </c>
      <c r="C103" s="236">
        <f>10</f>
        <v>10</v>
      </c>
      <c r="D103" s="236"/>
      <c r="E103" s="218">
        <f>60000</f>
        <v>60000</v>
      </c>
      <c r="F103" s="134">
        <f t="shared" si="5"/>
        <v>600000</v>
      </c>
      <c r="G103" s="134">
        <f t="shared" si="6"/>
        <v>50000</v>
      </c>
      <c r="H103" s="1"/>
      <c r="I103" s="1"/>
      <c r="Q103" s="1"/>
      <c r="R103" s="1"/>
      <c r="S103" s="1"/>
      <c r="T103" s="1"/>
      <c r="U103" s="1"/>
      <c r="V103" s="1"/>
      <c r="W103" s="1"/>
    </row>
    <row r="104" spans="2:23" ht="19" thickBot="1" x14ac:dyDescent="0.5">
      <c r="B104" s="232" t="s">
        <v>204</v>
      </c>
      <c r="C104" s="236">
        <f>12</f>
        <v>12</v>
      </c>
      <c r="D104" s="236"/>
      <c r="E104" s="218">
        <f>400000</f>
        <v>400000</v>
      </c>
      <c r="F104" s="134">
        <f t="shared" si="5"/>
        <v>4800000</v>
      </c>
      <c r="G104" s="134">
        <f t="shared" si="6"/>
        <v>400000</v>
      </c>
      <c r="H104" s="1"/>
      <c r="I104" s="1"/>
      <c r="Q104" s="1"/>
      <c r="R104" s="1"/>
      <c r="S104" s="1"/>
      <c r="T104" s="1"/>
      <c r="U104" s="1"/>
      <c r="V104" s="1"/>
      <c r="W104" s="1"/>
    </row>
    <row r="105" spans="2:23" ht="19" thickBot="1" x14ac:dyDescent="0.5">
      <c r="B105" s="232" t="s">
        <v>205</v>
      </c>
      <c r="C105" s="236">
        <f>12</f>
        <v>12</v>
      </c>
      <c r="D105" s="236"/>
      <c r="E105" s="218">
        <f>300000</f>
        <v>300000</v>
      </c>
      <c r="F105" s="134">
        <f t="shared" si="5"/>
        <v>3600000</v>
      </c>
      <c r="G105" s="134">
        <f t="shared" si="6"/>
        <v>300000</v>
      </c>
      <c r="H105" s="1"/>
      <c r="I105" s="1"/>
      <c r="Q105" s="1"/>
      <c r="R105" s="1"/>
      <c r="S105" s="1"/>
      <c r="T105" s="1"/>
      <c r="U105" s="1"/>
      <c r="V105" s="1"/>
      <c r="W105" s="1"/>
    </row>
    <row r="106" spans="2:23" ht="19" thickBot="1" x14ac:dyDescent="0.5">
      <c r="B106" s="232" t="s">
        <v>206</v>
      </c>
      <c r="C106" s="236">
        <f>C101</f>
        <v>30</v>
      </c>
      <c r="D106" s="236"/>
      <c r="E106" s="218">
        <f>10000</f>
        <v>10000</v>
      </c>
      <c r="F106" s="134">
        <f t="shared" si="5"/>
        <v>300000</v>
      </c>
      <c r="G106" s="134">
        <f t="shared" si="6"/>
        <v>25000</v>
      </c>
      <c r="H106" s="1"/>
      <c r="I106" s="147"/>
      <c r="Q106" s="1"/>
      <c r="R106" s="1"/>
      <c r="S106" s="1"/>
      <c r="T106" s="1"/>
      <c r="U106" s="1"/>
      <c r="V106" s="1"/>
      <c r="W106" s="1"/>
    </row>
    <row r="107" spans="2:23" ht="19" thickBot="1" x14ac:dyDescent="0.5">
      <c r="B107" s="232" t="s">
        <v>207</v>
      </c>
      <c r="C107" s="236">
        <f>C102</f>
        <v>12</v>
      </c>
      <c r="D107" s="236"/>
      <c r="E107" s="218">
        <f>10000</f>
        <v>10000</v>
      </c>
      <c r="F107" s="134">
        <f t="shared" si="5"/>
        <v>120000</v>
      </c>
      <c r="G107" s="134">
        <f t="shared" si="6"/>
        <v>10000</v>
      </c>
      <c r="H107" s="1"/>
      <c r="I107" s="1"/>
      <c r="Q107" s="1"/>
      <c r="R107" s="1"/>
      <c r="S107" s="1"/>
      <c r="T107" s="1"/>
      <c r="U107" s="1"/>
      <c r="V107" s="1"/>
      <c r="W107" s="1"/>
    </row>
    <row r="108" spans="2:23" ht="22" customHeight="1" thickBot="1" x14ac:dyDescent="0.5">
      <c r="B108" s="232" t="s">
        <v>208</v>
      </c>
      <c r="C108" s="236">
        <f>C103</f>
        <v>10</v>
      </c>
      <c r="D108" s="236"/>
      <c r="E108" s="218">
        <f>10000</f>
        <v>10000</v>
      </c>
      <c r="F108" s="134">
        <f t="shared" si="5"/>
        <v>100000</v>
      </c>
      <c r="G108" s="134">
        <f t="shared" si="6"/>
        <v>8333.3333333333339</v>
      </c>
      <c r="H108" s="1"/>
      <c r="I108" s="1"/>
      <c r="Q108" s="1"/>
      <c r="R108" s="1"/>
      <c r="S108" s="1"/>
      <c r="T108" s="1"/>
      <c r="U108" s="1"/>
      <c r="V108" s="1"/>
      <c r="W108" s="1"/>
    </row>
    <row r="109" spans="2:23" ht="19" thickBot="1" x14ac:dyDescent="0.5">
      <c r="B109" s="232" t="s">
        <v>209</v>
      </c>
      <c r="C109" s="236">
        <f>C105</f>
        <v>12</v>
      </c>
      <c r="D109" s="236"/>
      <c r="E109" s="218">
        <f>10000</f>
        <v>10000</v>
      </c>
      <c r="F109" s="134">
        <f t="shared" si="5"/>
        <v>120000</v>
      </c>
      <c r="G109" s="134">
        <f t="shared" si="6"/>
        <v>10000</v>
      </c>
      <c r="H109" s="1"/>
      <c r="I109" s="1"/>
      <c r="Q109" s="1"/>
      <c r="R109" s="1"/>
      <c r="S109" s="1"/>
      <c r="T109" s="1"/>
      <c r="U109" s="1"/>
      <c r="V109" s="1"/>
      <c r="W109" s="1"/>
    </row>
    <row r="110" spans="2:23" ht="16" thickBot="1" x14ac:dyDescent="0.4">
      <c r="B110" s="233" t="s">
        <v>233</v>
      </c>
      <c r="C110" s="237"/>
      <c r="D110" s="237"/>
      <c r="E110" s="219"/>
      <c r="F110" s="134">
        <f>E110*C110</f>
        <v>0</v>
      </c>
      <c r="G110" s="134">
        <f t="shared" si="6"/>
        <v>0</v>
      </c>
      <c r="H110" s="1"/>
      <c r="I110" s="1" t="s">
        <v>96</v>
      </c>
      <c r="K110" s="1" t="s">
        <v>97</v>
      </c>
      <c r="L110" s="157">
        <f>(MIN(M50,M52)*12)-SUM(G124:G127)</f>
        <v>100629.99999999988</v>
      </c>
      <c r="Q110" s="1"/>
      <c r="R110" s="1"/>
      <c r="S110" s="1"/>
      <c r="T110" s="1"/>
      <c r="U110" s="1"/>
      <c r="V110" s="1"/>
      <c r="W110" s="1"/>
    </row>
    <row r="111" spans="2:23" ht="16" thickBot="1" x14ac:dyDescent="0.4">
      <c r="B111" s="200"/>
      <c r="C111" s="238"/>
      <c r="D111" s="239"/>
      <c r="E111" s="201"/>
      <c r="F111" s="22">
        <f t="shared" si="5"/>
        <v>0</v>
      </c>
      <c r="G111" s="22">
        <f t="shared" si="6"/>
        <v>0</v>
      </c>
      <c r="H111" s="1"/>
      <c r="I111" s="1"/>
      <c r="Q111" s="1"/>
      <c r="R111" s="1"/>
      <c r="S111" s="1"/>
      <c r="T111" s="1"/>
      <c r="U111" s="1"/>
      <c r="V111" s="1"/>
      <c r="W111" s="1"/>
    </row>
    <row r="112" spans="2:23" ht="16" thickBot="1" x14ac:dyDescent="0.4">
      <c r="B112" s="23" t="s">
        <v>98</v>
      </c>
      <c r="C112" s="246"/>
      <c r="D112" s="247"/>
      <c r="E112" s="24"/>
      <c r="F112" s="24">
        <f>SUM(F101:F111)</f>
        <v>12040000</v>
      </c>
      <c r="G112" s="24">
        <f>SUM(G101:G111)</f>
        <v>1003333.3333333334</v>
      </c>
      <c r="H112" s="157"/>
      <c r="I112" s="1"/>
      <c r="K112" s="1" t="s">
        <v>99</v>
      </c>
      <c r="L112" s="50">
        <f>(MIN(M50,M52)*12*5)-(SUM(G124:G127)*5)</f>
        <v>503150</v>
      </c>
      <c r="Q112" s="1"/>
      <c r="R112" s="1"/>
      <c r="S112" s="1"/>
      <c r="T112" s="1"/>
      <c r="U112" s="1"/>
      <c r="V112" s="1"/>
      <c r="W112" s="1"/>
    </row>
    <row r="113" spans="1:35" s="1" customFormat="1" ht="16" thickBot="1" x14ac:dyDescent="0.4">
      <c r="K113" s="1" t="s">
        <v>100</v>
      </c>
      <c r="L113" s="50">
        <f>(MIN(M50,M52)*12*9)-(SUM(G124:G127)*9)</f>
        <v>905669.99999999907</v>
      </c>
    </row>
    <row r="114" spans="1:35" s="1" customFormat="1" ht="16" thickBot="1" x14ac:dyDescent="0.4">
      <c r="B114" s="25" t="s">
        <v>101</v>
      </c>
    </row>
    <row r="115" spans="1:35" s="29" customFormat="1" ht="31.5" thickBot="1" x14ac:dyDescent="0.4">
      <c r="A115" s="26"/>
      <c r="B115" s="27" t="s">
        <v>102</v>
      </c>
      <c r="C115" s="163" t="s">
        <v>92</v>
      </c>
      <c r="D115" s="28" t="s">
        <v>103</v>
      </c>
      <c r="E115" s="163" t="s">
        <v>104</v>
      </c>
      <c r="F115" s="28" t="s">
        <v>105</v>
      </c>
      <c r="G115" s="163" t="s">
        <v>106</v>
      </c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</row>
    <row r="116" spans="1:35" ht="16" thickBot="1" x14ac:dyDescent="0.4">
      <c r="B116" s="231" t="s">
        <v>197</v>
      </c>
      <c r="C116" s="99">
        <f>IF($B$5=INDEX($B$6:$B$7,1,1),C27,'investissement réel'!C4)</f>
        <v>1</v>
      </c>
      <c r="D116" s="100">
        <f>IF($B$5=INDEX($B$6:$B$7,1,1),D27,'investissement réel'!D4)</f>
        <v>1500000</v>
      </c>
      <c r="E116" s="198">
        <v>20</v>
      </c>
      <c r="F116" s="31">
        <f>C116*D116</f>
        <v>1500000</v>
      </c>
      <c r="G116" s="32">
        <f t="shared" ref="G116:G127" si="7">IFERROR(F116/E116,0)</f>
        <v>75000</v>
      </c>
      <c r="H116" s="1"/>
      <c r="I116" s="1"/>
      <c r="Q116" s="1"/>
      <c r="R116" s="1"/>
      <c r="S116" s="1"/>
      <c r="T116" s="1"/>
      <c r="U116" s="1"/>
      <c r="V116" s="1"/>
      <c r="W116" s="1"/>
    </row>
    <row r="117" spans="1:35" ht="16" thickBot="1" x14ac:dyDescent="0.4">
      <c r="B117" s="231" t="s">
        <v>198</v>
      </c>
      <c r="C117" s="99">
        <f>IF($B$5=INDEX($B$6:$B$7,1,1),C28,'investissement réel'!C5)</f>
        <v>1</v>
      </c>
      <c r="D117" s="100">
        <f>IF($B$5=INDEX($B$6:$B$7,1,1),D28,'investissement réel'!D5)</f>
        <v>500000</v>
      </c>
      <c r="E117" s="199">
        <v>20</v>
      </c>
      <c r="F117" s="31">
        <f t="shared" ref="F117:F127" si="8">C117*D117</f>
        <v>500000</v>
      </c>
      <c r="G117" s="32">
        <f t="shared" si="7"/>
        <v>25000</v>
      </c>
      <c r="H117" s="1"/>
      <c r="I117" s="1"/>
      <c r="Q117" s="1"/>
      <c r="R117" s="1"/>
      <c r="S117" s="1"/>
      <c r="T117" s="1"/>
      <c r="U117" s="1"/>
      <c r="V117" s="1"/>
      <c r="W117" s="1"/>
    </row>
    <row r="118" spans="1:35" ht="31.5" thickBot="1" x14ac:dyDescent="0.4">
      <c r="B118" s="231" t="s">
        <v>238</v>
      </c>
      <c r="C118" s="99">
        <f>IF($B$5=INDEX($B$6:$B$7,1,1),C29,'investissement réel'!C6)</f>
        <v>1</v>
      </c>
      <c r="D118" s="100">
        <f>IF($B$5=INDEX($B$6:$B$7,1,1),D29,'investissement réel'!D6)</f>
        <v>1500000</v>
      </c>
      <c r="E118" s="198">
        <v>20</v>
      </c>
      <c r="F118" s="31">
        <f>C118*D118</f>
        <v>1500000</v>
      </c>
      <c r="G118" s="32">
        <f t="shared" ref="G118" si="9">IFERROR(F118/E118,0)</f>
        <v>75000</v>
      </c>
      <c r="H118" s="1"/>
      <c r="I118" s="1"/>
      <c r="Q118" s="1"/>
      <c r="R118" s="1"/>
      <c r="S118" s="1"/>
      <c r="T118" s="1"/>
      <c r="U118" s="1"/>
      <c r="V118" s="1"/>
      <c r="W118" s="1"/>
    </row>
    <row r="119" spans="1:35" ht="16" thickBot="1" x14ac:dyDescent="0.4">
      <c r="B119" s="231" t="s">
        <v>200</v>
      </c>
      <c r="C119" s="99">
        <f>IF($B$5=INDEX($B$6:$B$7,1,1),C30,'investissement réel'!C7)</f>
        <v>1</v>
      </c>
      <c r="D119" s="100">
        <f>IF($B$5=INDEX($B$6:$B$7,1,1),D30,'investissement réel'!D7)</f>
        <v>160000</v>
      </c>
      <c r="E119" s="198">
        <v>15</v>
      </c>
      <c r="F119" s="31">
        <f t="shared" ref="F119" si="10">C119*D119</f>
        <v>160000</v>
      </c>
      <c r="G119" s="32">
        <f t="shared" ref="G119" si="11">IFERROR(F119/E119,0)</f>
        <v>10666.666666666666</v>
      </c>
      <c r="H119" s="1"/>
      <c r="I119" s="1"/>
      <c r="Q119" s="1"/>
      <c r="R119" s="1"/>
      <c r="S119" s="1"/>
      <c r="T119" s="1"/>
      <c r="U119" s="1"/>
      <c r="V119" s="1"/>
      <c r="W119" s="1"/>
    </row>
    <row r="120" spans="1:35" ht="16" thickBot="1" x14ac:dyDescent="0.4">
      <c r="B120" s="231" t="s">
        <v>196</v>
      </c>
      <c r="C120" s="222">
        <f>IF($B$5=INDEX($B$6:$B$7,1,1),C31,'investissement réel'!C8)</f>
        <v>1</v>
      </c>
      <c r="D120" s="190">
        <f>IF($B$5=INDEX($B$6:$B$7,1,1),D31,'investissement réel'!D8)</f>
        <v>40000</v>
      </c>
      <c r="E120" s="198">
        <v>10</v>
      </c>
      <c r="F120" s="31">
        <f>C120*D120</f>
        <v>40000</v>
      </c>
      <c r="G120" s="32">
        <f>IFERROR(F120/E120,0)</f>
        <v>4000</v>
      </c>
      <c r="H120" s="1"/>
      <c r="I120" s="2"/>
      <c r="Q120" s="1"/>
      <c r="R120" s="1"/>
      <c r="S120" s="1"/>
      <c r="T120" s="1"/>
      <c r="U120" s="1"/>
      <c r="V120" s="1"/>
      <c r="W120" s="1"/>
    </row>
    <row r="121" spans="1:35" ht="16" thickBot="1" x14ac:dyDescent="0.4">
      <c r="B121" s="231" t="s">
        <v>193</v>
      </c>
      <c r="C121" s="99">
        <f>IF($B$5=INDEX($B$6:$B$7,1,1),F81,'investissement réel'!C9)</f>
        <v>1</v>
      </c>
      <c r="D121" s="100">
        <f>IF($B$5=INDEX($B$6:$B$7,1,1),F19,'investissement réel'!D9)</f>
        <v>250000</v>
      </c>
      <c r="E121" s="198">
        <v>10</v>
      </c>
      <c r="F121" s="31">
        <f t="shared" si="8"/>
        <v>250000</v>
      </c>
      <c r="G121" s="32">
        <f t="shared" si="7"/>
        <v>25000</v>
      </c>
      <c r="H121" s="1"/>
      <c r="I121" s="1"/>
      <c r="Q121" s="1"/>
      <c r="R121" s="1"/>
      <c r="S121" s="1"/>
      <c r="T121" s="1"/>
      <c r="U121" s="1"/>
      <c r="V121" s="1"/>
      <c r="W121" s="1"/>
    </row>
    <row r="122" spans="1:35" ht="16" thickBot="1" x14ac:dyDescent="0.4">
      <c r="B122" s="231" t="s">
        <v>194</v>
      </c>
      <c r="C122" s="99">
        <f>IF($B$5=INDEX($B$6:$B$7,1,1),F82,'investissement réel'!C10)</f>
        <v>1</v>
      </c>
      <c r="D122" s="100">
        <f>IF($B$5=INDEX($B$6:$B$7,1,1),F20,'investissement réel'!D10)</f>
        <v>40000</v>
      </c>
      <c r="E122" s="198">
        <v>10</v>
      </c>
      <c r="F122" s="31">
        <f t="shared" si="8"/>
        <v>40000</v>
      </c>
      <c r="G122" s="32">
        <f t="shared" si="7"/>
        <v>4000</v>
      </c>
      <c r="H122" s="1"/>
      <c r="I122" s="1"/>
      <c r="Q122" s="1"/>
      <c r="R122" s="1"/>
      <c r="S122" s="1"/>
      <c r="T122" s="1"/>
      <c r="U122" s="1"/>
      <c r="V122" s="1"/>
      <c r="W122" s="1"/>
    </row>
    <row r="123" spans="1:35" ht="16" thickBot="1" x14ac:dyDescent="0.4">
      <c r="B123" s="231" t="s">
        <v>195</v>
      </c>
      <c r="C123" s="99">
        <f>IF($B$5=INDEX($B$6:$B$7,1,1),F83,'investissement réel'!C11)</f>
        <v>1</v>
      </c>
      <c r="D123" s="100">
        <f>IF($B$5=INDEX($B$6:$B$7,1,1),F21,'investissement réel'!D11)</f>
        <v>100000</v>
      </c>
      <c r="E123" s="198">
        <v>10</v>
      </c>
      <c r="F123" s="31">
        <f t="shared" si="8"/>
        <v>100000</v>
      </c>
      <c r="G123" s="32">
        <f t="shared" si="7"/>
        <v>10000</v>
      </c>
      <c r="H123" s="1"/>
      <c r="I123" s="1"/>
      <c r="Q123" s="1"/>
      <c r="R123" s="1"/>
      <c r="S123" s="1"/>
      <c r="T123" s="1"/>
      <c r="U123" s="1"/>
      <c r="V123" s="1"/>
      <c r="W123" s="1"/>
    </row>
    <row r="124" spans="1:35" ht="16" thickBot="1" x14ac:dyDescent="0.4">
      <c r="B124" s="231" t="s">
        <v>190</v>
      </c>
      <c r="C124" s="99">
        <f>IF($B$5=INDEX($B$6:$B$7,1,1),F84,'investissement réel'!C12)</f>
        <v>1</v>
      </c>
      <c r="D124" s="100">
        <f>IF($B$5=INDEX($B$6:$B$7,1,1),INDEX(D:D,MATCH(F62,B:B,0)),'investissement réel'!D12)</f>
        <v>1175844</v>
      </c>
      <c r="E124" s="198">
        <v>20</v>
      </c>
      <c r="F124" s="31">
        <f t="shared" si="8"/>
        <v>1175844</v>
      </c>
      <c r="G124" s="32">
        <f t="shared" si="7"/>
        <v>58792.2</v>
      </c>
      <c r="H124" s="1"/>
      <c r="I124" s="1"/>
      <c r="Q124" s="1"/>
      <c r="R124" s="1"/>
      <c r="S124" s="1"/>
      <c r="T124" s="1"/>
      <c r="U124" s="1"/>
      <c r="V124" s="1"/>
      <c r="W124" s="1"/>
    </row>
    <row r="125" spans="1:35" ht="16" thickBot="1" x14ac:dyDescent="0.4">
      <c r="B125" s="231" t="s">
        <v>21</v>
      </c>
      <c r="C125" s="99">
        <f>IF($B$5=INDEX($B$6:$B$7,1,1),F87,'investissement réel'!C13)</f>
        <v>1</v>
      </c>
      <c r="D125" s="100">
        <f>IF($B$5=INDEX($B$6:$B$7,1,1),INDEX(J:J,MATCH(F63,H:H,0)),'investissement réel'!D13)</f>
        <v>1735608</v>
      </c>
      <c r="E125" s="198">
        <v>7</v>
      </c>
      <c r="F125" s="31">
        <f t="shared" si="8"/>
        <v>1735608</v>
      </c>
      <c r="G125" s="32">
        <f t="shared" si="7"/>
        <v>247944</v>
      </c>
      <c r="H125" s="1"/>
      <c r="I125" s="1"/>
      <c r="Q125" s="1"/>
      <c r="R125" s="1"/>
      <c r="S125" s="1"/>
      <c r="T125" s="1"/>
      <c r="U125" s="1"/>
      <c r="V125" s="1"/>
      <c r="W125" s="1"/>
    </row>
    <row r="126" spans="1:35" ht="16" thickBot="1" x14ac:dyDescent="0.4">
      <c r="B126" s="231" t="s">
        <v>191</v>
      </c>
      <c r="C126" s="99">
        <f>IF($B$5=INDEX($B$6:$B$7,1,1),F90,'investissement réel'!C14)</f>
        <v>1</v>
      </c>
      <c r="D126" s="100">
        <f>D41</f>
        <v>2116221</v>
      </c>
      <c r="E126" s="198">
        <v>10</v>
      </c>
      <c r="F126" s="31">
        <f t="shared" si="8"/>
        <v>2116221</v>
      </c>
      <c r="G126" s="32">
        <f t="shared" si="7"/>
        <v>211622.1</v>
      </c>
      <c r="H126" s="1"/>
      <c r="I126" s="1"/>
      <c r="Q126" s="1"/>
      <c r="R126" s="1"/>
      <c r="S126" s="1"/>
      <c r="T126" s="1"/>
      <c r="U126" s="1"/>
      <c r="V126" s="1"/>
      <c r="W126" s="1"/>
    </row>
    <row r="127" spans="1:35" ht="16" thickBot="1" x14ac:dyDescent="0.4">
      <c r="B127" s="231" t="s">
        <v>192</v>
      </c>
      <c r="C127" s="99">
        <f>IF($B$5=INDEX($B$6:$B$7,1,1),C32,'investissement réel'!C15)</f>
        <v>1</v>
      </c>
      <c r="D127" s="100">
        <f>IF($B$5=INDEX($B$6:$B$7,1,1),D32,'investissement réel'!D15)</f>
        <v>2618801</v>
      </c>
      <c r="E127" s="198">
        <v>10</v>
      </c>
      <c r="F127" s="31">
        <f t="shared" si="8"/>
        <v>2618801</v>
      </c>
      <c r="G127" s="32">
        <f t="shared" si="7"/>
        <v>261880.1</v>
      </c>
      <c r="H127" s="1"/>
      <c r="I127" s="1"/>
      <c r="Q127" s="1"/>
      <c r="R127" s="1"/>
      <c r="S127" s="1"/>
      <c r="T127" s="1"/>
      <c r="U127" s="1"/>
      <c r="V127" s="1"/>
      <c r="W127" s="1"/>
    </row>
    <row r="128" spans="1:35" ht="16" thickBot="1" x14ac:dyDescent="0.4">
      <c r="B128" s="33" t="s">
        <v>98</v>
      </c>
      <c r="C128" s="34"/>
      <c r="D128" s="34"/>
      <c r="E128" s="34"/>
      <c r="F128" s="202">
        <f>SUM(F116:F127)</f>
        <v>11736474</v>
      </c>
      <c r="G128" s="203">
        <f>SUM(G116:G127)</f>
        <v>1008905.0666666667</v>
      </c>
      <c r="H128" s="174">
        <f>G128/12</f>
        <v>84075.422222222216</v>
      </c>
      <c r="I128" s="1"/>
      <c r="Q128" s="1"/>
      <c r="R128" s="1"/>
      <c r="S128" s="1"/>
      <c r="T128" s="1"/>
      <c r="U128" s="1"/>
      <c r="V128" s="1"/>
      <c r="W128" s="1"/>
    </row>
    <row r="129" spans="2:15" s="1" customFormat="1" x14ac:dyDescent="0.35"/>
    <row r="130" spans="2:15" s="1" customFormat="1" ht="21" x14ac:dyDescent="0.5">
      <c r="B130" s="7" t="s">
        <v>107</v>
      </c>
      <c r="C130" s="15"/>
      <c r="D130" s="15"/>
      <c r="E130" s="15"/>
      <c r="F130" s="16"/>
      <c r="G130" s="15"/>
      <c r="H130" s="15"/>
      <c r="I130" s="15"/>
      <c r="J130" s="15"/>
      <c r="K130" s="15"/>
      <c r="L130" s="15"/>
      <c r="M130" s="15"/>
      <c r="N130" s="15"/>
      <c r="O130" s="15"/>
    </row>
    <row r="131" spans="2:15" s="1" customFormat="1" x14ac:dyDescent="0.35"/>
    <row r="132" spans="2:15" s="1" customFormat="1" ht="16" thickBot="1" x14ac:dyDescent="0.4">
      <c r="B132" s="25" t="s">
        <v>90</v>
      </c>
    </row>
    <row r="133" spans="2:15" s="1" customFormat="1" ht="16" thickBot="1" x14ac:dyDescent="0.4">
      <c r="B133" s="37" t="s">
        <v>91</v>
      </c>
      <c r="C133" s="242" t="s">
        <v>92</v>
      </c>
      <c r="D133" s="243"/>
      <c r="E133" s="163" t="s">
        <v>93</v>
      </c>
      <c r="F133" s="38" t="s">
        <v>211</v>
      </c>
      <c r="G133" s="38" t="s">
        <v>212</v>
      </c>
      <c r="K133" s="21">
        <v>0.01</v>
      </c>
    </row>
    <row r="134" spans="2:15" s="1" customFormat="1" ht="16" thickBot="1" x14ac:dyDescent="0.4">
      <c r="B134" s="39" t="s">
        <v>213</v>
      </c>
      <c r="C134" s="240">
        <v>1</v>
      </c>
      <c r="D134" s="241"/>
      <c r="E134" s="40">
        <v>2520000</v>
      </c>
      <c r="F134" s="41">
        <f>C134*E134</f>
        <v>2520000</v>
      </c>
      <c r="G134" s="41">
        <f>F134/12</f>
        <v>210000</v>
      </c>
    </row>
    <row r="135" spans="2:15" s="1" customFormat="1" ht="16" thickBot="1" x14ac:dyDescent="0.4">
      <c r="B135" s="42" t="s">
        <v>214</v>
      </c>
      <c r="C135" s="240">
        <v>12</v>
      </c>
      <c r="D135" s="241"/>
      <c r="E135" s="40">
        <v>250000</v>
      </c>
      <c r="F135" s="41">
        <f>C135*E135</f>
        <v>3000000</v>
      </c>
      <c r="G135" s="41">
        <f t="shared" ref="G135:G137" si="12">F135/12</f>
        <v>250000</v>
      </c>
    </row>
    <row r="136" spans="2:15" s="1" customFormat="1" ht="16" thickBot="1" x14ac:dyDescent="0.4">
      <c r="B136" s="42" t="s">
        <v>215</v>
      </c>
      <c r="C136" s="240">
        <v>12</v>
      </c>
      <c r="D136" s="241"/>
      <c r="E136" s="40">
        <v>19116</v>
      </c>
      <c r="F136" s="41">
        <f>C136*E136</f>
        <v>229392</v>
      </c>
      <c r="G136" s="41">
        <f t="shared" si="12"/>
        <v>19116</v>
      </c>
    </row>
    <row r="137" spans="2:15" s="1" customFormat="1" ht="16" thickBot="1" x14ac:dyDescent="0.4">
      <c r="B137" s="42" t="s">
        <v>216</v>
      </c>
      <c r="C137" s="240">
        <v>12</v>
      </c>
      <c r="D137" s="241"/>
      <c r="E137" s="40">
        <v>230000</v>
      </c>
      <c r="F137" s="41">
        <f>C137*E137</f>
        <v>2760000</v>
      </c>
      <c r="G137" s="41">
        <f t="shared" si="12"/>
        <v>230000</v>
      </c>
    </row>
    <row r="138" spans="2:15" s="1" customFormat="1" ht="16" thickBot="1" x14ac:dyDescent="0.4">
      <c r="B138" s="43" t="s">
        <v>109</v>
      </c>
      <c r="C138" s="234"/>
      <c r="D138" s="235"/>
      <c r="E138" s="44"/>
      <c r="F138" s="35">
        <f>SUM(F134:F137)</f>
        <v>8509392</v>
      </c>
      <c r="G138" s="35">
        <f>SUM(G134:G137)</f>
        <v>709116</v>
      </c>
      <c r="H138" s="185"/>
      <c r="I138" s="185"/>
    </row>
    <row r="139" spans="2:15" s="1" customFormat="1" ht="18.5" customHeight="1" x14ac:dyDescent="0.35">
      <c r="B139" s="45"/>
      <c r="F139" s="26"/>
      <c r="G139" s="26"/>
      <c r="H139" s="26"/>
      <c r="I139" s="26"/>
    </row>
    <row r="140" spans="2:15" s="1" customFormat="1" ht="21" x14ac:dyDescent="0.5">
      <c r="B140" s="7" t="s">
        <v>110</v>
      </c>
      <c r="C140" s="15"/>
      <c r="D140" s="15"/>
      <c r="E140" s="15"/>
      <c r="F140" s="16"/>
      <c r="G140" s="15"/>
      <c r="H140" s="15"/>
      <c r="I140" s="15"/>
      <c r="J140" s="15"/>
      <c r="K140" s="15"/>
      <c r="L140" s="15"/>
      <c r="M140" s="15"/>
      <c r="N140" s="15"/>
      <c r="O140" s="15"/>
    </row>
    <row r="141" spans="2:15" s="1" customFormat="1" x14ac:dyDescent="0.35"/>
    <row r="142" spans="2:15" s="1" customFormat="1" ht="16" thickBot="1" x14ac:dyDescent="0.4">
      <c r="B142" s="46" t="s">
        <v>111</v>
      </c>
      <c r="C142" s="25"/>
    </row>
    <row r="143" spans="2:15" s="1" customFormat="1" ht="40" customHeight="1" thickBot="1" x14ac:dyDescent="0.4">
      <c r="B143" s="27" t="s">
        <v>112</v>
      </c>
      <c r="C143" s="163" t="s">
        <v>113</v>
      </c>
      <c r="D143" s="28" t="s">
        <v>114</v>
      </c>
      <c r="E143" s="28" t="s">
        <v>115</v>
      </c>
    </row>
    <row r="144" spans="2:15" s="1" customFormat="1" ht="16" thickBot="1" x14ac:dyDescent="0.4">
      <c r="B144" s="30"/>
      <c r="C144" s="106"/>
      <c r="D144" s="100"/>
      <c r="E144" s="105"/>
    </row>
    <row r="145" spans="2:35" s="1" customFormat="1" ht="16" thickBot="1" x14ac:dyDescent="0.4">
      <c r="B145" s="30"/>
      <c r="C145" s="106"/>
      <c r="D145" s="100"/>
      <c r="E145" s="105"/>
    </row>
    <row r="146" spans="2:35" s="1" customFormat="1" ht="16" thickBot="1" x14ac:dyDescent="0.4">
      <c r="B146" s="30"/>
      <c r="C146" s="106"/>
      <c r="D146" s="100"/>
      <c r="E146" s="105"/>
    </row>
    <row r="147" spans="2:35" s="1" customFormat="1" ht="16" thickBot="1" x14ac:dyDescent="0.4">
      <c r="B147" s="30"/>
      <c r="C147" s="106"/>
      <c r="D147" s="100"/>
      <c r="E147" s="105"/>
    </row>
    <row r="148" spans="2:35" s="1" customFormat="1" ht="16" thickBot="1" x14ac:dyDescent="0.4">
      <c r="B148" s="30"/>
      <c r="C148" s="106"/>
      <c r="D148" s="100"/>
      <c r="E148" s="105"/>
    </row>
    <row r="149" spans="2:35" s="1" customFormat="1" ht="16" thickBot="1" x14ac:dyDescent="0.4">
      <c r="B149" s="30"/>
      <c r="C149" s="47"/>
      <c r="D149" s="100"/>
      <c r="E149" s="48"/>
    </row>
    <row r="150" spans="2:35" s="1" customFormat="1" ht="16" thickBot="1" x14ac:dyDescent="0.4">
      <c r="B150" s="30"/>
      <c r="C150" s="47"/>
      <c r="D150" s="100"/>
      <c r="E150" s="48"/>
    </row>
    <row r="151" spans="2:35" s="1" customFormat="1" ht="16" thickBot="1" x14ac:dyDescent="0.4">
      <c r="B151"/>
      <c r="C151"/>
    </row>
    <row r="152" spans="2:35" ht="16" thickBot="1" x14ac:dyDescent="0.4">
      <c r="B152" s="49" t="s">
        <v>116</v>
      </c>
      <c r="C152" s="50">
        <f>((D147*F138/365*E147)+(D148*F138/365*E148))</f>
        <v>0</v>
      </c>
      <c r="D152" s="1"/>
      <c r="E152" s="1"/>
      <c r="F152" s="1"/>
      <c r="G152" s="1"/>
      <c r="H152" s="1"/>
      <c r="I152" s="1"/>
      <c r="Q152" s="1"/>
      <c r="R152" s="1"/>
      <c r="S152" s="1"/>
      <c r="T152" s="1"/>
      <c r="U152" s="1"/>
      <c r="V152" s="1"/>
      <c r="W152" s="1"/>
    </row>
    <row r="153" spans="2:35" ht="16" thickBot="1" x14ac:dyDescent="0.4">
      <c r="B153" s="49" t="s">
        <v>117</v>
      </c>
      <c r="C153" s="50">
        <f>((D144*F112*E144/365)+(D145*F112*E145/365)+(D146*F112*E146/365))*-1</f>
        <v>0</v>
      </c>
      <c r="D153" s="1"/>
      <c r="E153" s="1"/>
      <c r="F153" s="1"/>
      <c r="G153" s="1"/>
      <c r="H153" s="1"/>
      <c r="I153" s="1"/>
      <c r="Q153" s="1"/>
      <c r="R153" s="1"/>
      <c r="S153" s="1"/>
      <c r="T153" s="1"/>
      <c r="U153" s="1"/>
      <c r="V153" s="1"/>
      <c r="W153" s="1"/>
    </row>
    <row r="154" spans="2:35" ht="16" thickBot="1" x14ac:dyDescent="0.4">
      <c r="B154" s="49" t="s">
        <v>118</v>
      </c>
      <c r="C154" s="50">
        <f>F101*D149/365</f>
        <v>0</v>
      </c>
      <c r="D154" s="1"/>
      <c r="E154" s="1"/>
      <c r="F154" s="1"/>
      <c r="G154" s="1"/>
      <c r="H154" s="1"/>
      <c r="I154" s="1"/>
      <c r="J154" s="157"/>
      <c r="Q154" s="1"/>
      <c r="R154" s="1"/>
      <c r="S154" s="1"/>
      <c r="T154" s="1"/>
      <c r="U154" s="1"/>
      <c r="V154" s="1"/>
      <c r="W154" s="1"/>
    </row>
    <row r="155" spans="2:35" ht="16" thickBot="1" x14ac:dyDescent="0.4">
      <c r="B155" s="49" t="s">
        <v>119</v>
      </c>
      <c r="C155" s="50">
        <f>F134*D150/365</f>
        <v>0</v>
      </c>
      <c r="D155" s="1"/>
      <c r="E155" s="1"/>
      <c r="F155" s="1"/>
      <c r="G155" s="1"/>
      <c r="H155" s="1"/>
      <c r="I155" s="1"/>
      <c r="Q155" s="1"/>
      <c r="R155" s="1"/>
      <c r="S155" s="1"/>
      <c r="T155" s="1"/>
      <c r="U155" s="1"/>
      <c r="V155" s="1"/>
      <c r="W155" s="1"/>
    </row>
    <row r="156" spans="2:35" ht="17.5" thickBot="1" x14ac:dyDescent="0.45">
      <c r="B156" s="51" t="s">
        <v>120</v>
      </c>
      <c r="C156" s="52">
        <f>SUM(C152:C155)</f>
        <v>0</v>
      </c>
      <c r="D156" s="1" t="s">
        <v>121</v>
      </c>
      <c r="E156" s="1"/>
      <c r="F156" s="1"/>
      <c r="G156" s="1"/>
      <c r="H156" s="1"/>
      <c r="I156" s="1"/>
      <c r="J156" s="157"/>
      <c r="Q156" s="1"/>
      <c r="R156" s="1"/>
      <c r="S156" s="1"/>
      <c r="T156" s="1"/>
      <c r="U156" s="1"/>
      <c r="V156" s="1"/>
      <c r="W156" s="1"/>
    </row>
    <row r="157" spans="2:35" x14ac:dyDescent="0.35">
      <c r="B157" s="1"/>
      <c r="C157" s="1"/>
      <c r="D157" s="1"/>
      <c r="E157" s="1"/>
      <c r="F157" s="1"/>
      <c r="G157" s="1"/>
      <c r="H157" s="1"/>
      <c r="I157" s="1"/>
      <c r="Q157" s="1"/>
      <c r="R157" s="1"/>
      <c r="S157" s="1"/>
      <c r="T157" s="1"/>
      <c r="U157" s="1"/>
      <c r="V157" s="1"/>
      <c r="W157" s="1"/>
    </row>
    <row r="158" spans="2:35" x14ac:dyDescent="0.35">
      <c r="B158" s="1"/>
      <c r="C158" s="1"/>
      <c r="D158" s="1"/>
      <c r="E158" s="1"/>
      <c r="F158" s="1"/>
      <c r="G158" s="1"/>
      <c r="H158" s="1"/>
      <c r="I158" s="1"/>
      <c r="Q158" s="1"/>
      <c r="R158" s="1"/>
      <c r="S158" s="1"/>
      <c r="T158" s="1"/>
      <c r="U158" s="1"/>
      <c r="V158" s="1"/>
      <c r="W158" s="1"/>
      <c r="AB158"/>
      <c r="AC158"/>
      <c r="AD158"/>
      <c r="AE158"/>
      <c r="AF158"/>
      <c r="AG158"/>
      <c r="AH158"/>
      <c r="AI158"/>
    </row>
    <row r="159" spans="2:35" ht="16" thickBot="1" x14ac:dyDescent="0.4">
      <c r="B159" s="25" t="s">
        <v>122</v>
      </c>
      <c r="C159" s="1"/>
      <c r="D159" s="1"/>
      <c r="E159" s="1"/>
      <c r="F159" s="25" t="s">
        <v>123</v>
      </c>
      <c r="G159" s="1"/>
      <c r="H159" s="1"/>
      <c r="I159" s="1"/>
      <c r="Q159" s="1"/>
      <c r="R159" s="1"/>
      <c r="S159" s="1"/>
      <c r="T159" s="1"/>
      <c r="U159" s="1"/>
      <c r="V159" s="1"/>
      <c r="W159" s="1"/>
      <c r="AB159"/>
      <c r="AC159"/>
      <c r="AD159"/>
      <c r="AE159"/>
      <c r="AF159"/>
      <c r="AG159"/>
      <c r="AH159"/>
      <c r="AI159"/>
    </row>
    <row r="160" spans="2:35" ht="37" customHeight="1" thickBot="1" x14ac:dyDescent="0.4">
      <c r="B160" s="53" t="s">
        <v>102</v>
      </c>
      <c r="C160" s="163" t="s">
        <v>124</v>
      </c>
      <c r="D160" s="38" t="s">
        <v>125</v>
      </c>
      <c r="E160" s="1"/>
      <c r="F160" s="54" t="s">
        <v>126</v>
      </c>
      <c r="G160" s="28" t="s">
        <v>127</v>
      </c>
      <c r="H160" s="28" t="s">
        <v>128</v>
      </c>
      <c r="I160" s="28" t="s">
        <v>129</v>
      </c>
      <c r="J160" s="28" t="s">
        <v>130</v>
      </c>
      <c r="K160" s="28" t="s">
        <v>188</v>
      </c>
      <c r="Q160" s="1"/>
      <c r="R160" s="1"/>
      <c r="S160" s="1"/>
      <c r="T160" s="1"/>
      <c r="U160" s="1"/>
      <c r="V160" s="1"/>
      <c r="W160" s="1"/>
      <c r="AA160"/>
      <c r="AB160"/>
      <c r="AC160"/>
      <c r="AD160"/>
      <c r="AE160"/>
      <c r="AF160"/>
      <c r="AG160"/>
      <c r="AH160"/>
      <c r="AI160"/>
    </row>
    <row r="161" spans="2:35" ht="16" thickBot="1" x14ac:dyDescent="0.4">
      <c r="B161" s="55" t="s">
        <v>131</v>
      </c>
      <c r="C161" s="56"/>
      <c r="D161" s="41">
        <f>F128</f>
        <v>11736474</v>
      </c>
      <c r="E161" s="1"/>
      <c r="F161" s="57">
        <f>IF(D168&gt;10,"nb an insuffisant",IF(D168&gt;=1,1,"-"))</f>
        <v>1</v>
      </c>
      <c r="G161" s="41">
        <f>SUMIFS('Remboursement Mensualités'!C$14:C$133,'Remboursement Mensualités'!$F$14:$F$133,'Table rentabilité'!$F161)</f>
        <v>1681507.10727533</v>
      </c>
      <c r="H161" s="41">
        <f>SUMIFS('Remboursement Mensualités'!D$14:D$133,'Remboursement Mensualités'!$F$14:$F$133,'Table rentabilité'!$F161)</f>
        <v>829117.42114311433</v>
      </c>
      <c r="I161" s="41">
        <f>SUMIFS('Remboursement Mensualités'!E$14:E$133,'Remboursement Mensualités'!$F$14:$F$133,'Table rentabilité'!$F161)</f>
        <v>85697090.661603794</v>
      </c>
      <c r="J161" s="41">
        <f>SUMIFS('Remboursement Mensualités'!B$14:B$133,'Remboursement Mensualités'!$F$14:$F$133,'Table rentabilité'!$F161)</f>
        <v>2510624.5284184441</v>
      </c>
      <c r="K161" s="41">
        <f>J161/12</f>
        <v>209218.710701537</v>
      </c>
      <c r="Q161" s="1"/>
      <c r="R161" s="1"/>
      <c r="S161" s="1"/>
      <c r="T161" s="1"/>
      <c r="U161" s="1"/>
      <c r="V161" s="1"/>
      <c r="W161" s="1"/>
      <c r="AA161"/>
      <c r="AB161"/>
      <c r="AC161"/>
      <c r="AD161"/>
      <c r="AE161"/>
      <c r="AF161"/>
      <c r="AG161"/>
      <c r="AH161"/>
      <c r="AI161"/>
    </row>
    <row r="162" spans="2:35" ht="16" thickBot="1" x14ac:dyDescent="0.4">
      <c r="B162" s="42" t="s">
        <v>132</v>
      </c>
      <c r="C162" s="58"/>
      <c r="D162" s="59">
        <f>C156</f>
        <v>0</v>
      </c>
      <c r="E162" s="1"/>
      <c r="F162" s="57">
        <f>IF(D168&gt;10,"nb an insuffisant",IF(D168&gt;=2,2,"-"))</f>
        <v>2</v>
      </c>
      <c r="G162" s="41">
        <f>SUMIFS('Remboursement Mensualités'!C$14:C$133,'Remboursement Mensualités'!$F$14:$F$133,'Table rentabilité'!$F162)</f>
        <v>1883287.9601483713</v>
      </c>
      <c r="H162" s="41">
        <f>SUMIFS('Remboursement Mensualités'!D$14:D$133,'Remboursement Mensualités'!$F$14:$F$133,'Table rentabilité'!$F162)</f>
        <v>627336.56827007292</v>
      </c>
      <c r="I162" s="41">
        <f>SUMIFS('Remboursement Mensualités'!E$14:E$133,'Remboursement Mensualités'!$F$14:$F$133,'Table rentabilité'!$F162)</f>
        <v>64230133.693692282</v>
      </c>
      <c r="J162" s="41">
        <f>SUMIFS('Remboursement Mensualités'!B$14:B$133,'Remboursement Mensualités'!$F$14:$F$133,'Table rentabilité'!$F162)</f>
        <v>2510624.5284184436</v>
      </c>
      <c r="K162" s="41">
        <f t="shared" ref="K162:K165" si="13">J162/12</f>
        <v>209218.71070153697</v>
      </c>
      <c r="Q162" s="1"/>
      <c r="R162" s="1"/>
      <c r="S162" s="1"/>
      <c r="T162" s="1"/>
      <c r="U162" s="1"/>
      <c r="V162" s="1"/>
      <c r="W162" s="1"/>
      <c r="AA162"/>
      <c r="AB162"/>
      <c r="AC162"/>
      <c r="AD162"/>
      <c r="AE162"/>
      <c r="AF162"/>
      <c r="AG162"/>
      <c r="AH162"/>
      <c r="AI162"/>
    </row>
    <row r="163" spans="2:35" ht="16" thickBot="1" x14ac:dyDescent="0.4">
      <c r="B163" s="43" t="s">
        <v>133</v>
      </c>
      <c r="C163" s="60"/>
      <c r="D163" s="61">
        <f>SUM(D161:D162)</f>
        <v>11736474</v>
      </c>
      <c r="E163" s="1"/>
      <c r="F163" s="57">
        <f>IF(D168&gt;10,"nb an insuffisant",IF(D168&gt;=3,3,"-"))</f>
        <v>3</v>
      </c>
      <c r="G163" s="41">
        <f>SUMIFS('Remboursement Mensualités'!C$14:C$133,'Remboursement Mensualités'!$F$14:$F$133,'Table rentabilité'!$F163)</f>
        <v>2109282.5153661775</v>
      </c>
      <c r="H163" s="41">
        <f>SUMIFS('Remboursement Mensualités'!D$14:D$133,'Remboursement Mensualités'!$F$14:$F$133,'Table rentabilité'!$F163)</f>
        <v>401342.01305226661</v>
      </c>
      <c r="I163" s="41">
        <f>SUMIFS('Remboursement Mensualités'!E$14:E$133,'Remboursement Mensualités'!$F$14:$F$133,'Table rentabilité'!$F163)</f>
        <v>40187141.889631361</v>
      </c>
      <c r="J163" s="41">
        <f>SUMIFS('Remboursement Mensualités'!B$14:B$133,'Remboursement Mensualités'!$F$14:$F$133,'Table rentabilité'!$F163)</f>
        <v>2510624.5284184441</v>
      </c>
      <c r="K163" s="41">
        <f t="shared" si="13"/>
        <v>209218.710701537</v>
      </c>
      <c r="Q163" s="1"/>
      <c r="R163" s="1"/>
      <c r="S163" s="1"/>
      <c r="T163" s="1"/>
      <c r="U163" s="1"/>
      <c r="V163" s="1"/>
      <c r="W163" s="1"/>
      <c r="AA163"/>
      <c r="AB163"/>
      <c r="AC163"/>
      <c r="AD163"/>
      <c r="AE163"/>
      <c r="AF163"/>
      <c r="AG163"/>
      <c r="AH163"/>
      <c r="AI163"/>
    </row>
    <row r="164" spans="2:35" ht="16" thickBot="1" x14ac:dyDescent="0.4">
      <c r="B164" s="62" t="s">
        <v>134</v>
      </c>
      <c r="C164" s="109">
        <f>D164/D163</f>
        <v>0.31525652423376904</v>
      </c>
      <c r="D164" s="63">
        <f>SUM(F116:F120)</f>
        <v>3700000</v>
      </c>
      <c r="E164" s="1"/>
      <c r="F164" s="57">
        <f>IF(D168&gt;10,"nb an insuffisant",IF(D168&gt;=4,4,"-"))</f>
        <v>4</v>
      </c>
      <c r="G164" s="41">
        <f>SUMIFS('Remboursement Mensualités'!C$14:C$133,'Remboursement Mensualités'!$F$14:$F$133,'Table rentabilité'!$F164)</f>
        <v>2362396.4172101207</v>
      </c>
      <c r="H164" s="41">
        <f>SUMIFS('Remboursement Mensualités'!D$14:D$133,'Remboursement Mensualités'!$F$14:$F$133,'Table rentabilité'!$F164)</f>
        <v>148228.1112083233</v>
      </c>
      <c r="I164" s="41">
        <f>SUMIFS('Remboursement Mensualités'!E$14:E$133,'Remboursement Mensualités'!$F$14:$F$133,'Table rentabilité'!$F164)</f>
        <v>13258991.069083121</v>
      </c>
      <c r="J164" s="41">
        <f>SUMIFS('Remboursement Mensualités'!B$14:B$133,'Remboursement Mensualités'!$F$14:$F$133,'Table rentabilité'!$F164)</f>
        <v>2510624.5284184441</v>
      </c>
      <c r="K164" s="41">
        <f t="shared" si="13"/>
        <v>209218.710701537</v>
      </c>
      <c r="Q164" s="1"/>
      <c r="R164" s="1"/>
      <c r="S164" s="1"/>
      <c r="T164" s="1"/>
      <c r="U164" s="1"/>
      <c r="V164" s="1"/>
      <c r="W164" s="1"/>
      <c r="AA164"/>
      <c r="AB164"/>
      <c r="AC164"/>
      <c r="AD164"/>
      <c r="AE164"/>
      <c r="AF164"/>
      <c r="AG164"/>
      <c r="AH164"/>
      <c r="AI164"/>
    </row>
    <row r="165" spans="2:35" ht="16" thickBot="1" x14ac:dyDescent="0.4">
      <c r="B165" s="64" t="s">
        <v>135</v>
      </c>
      <c r="C165" s="105">
        <v>0</v>
      </c>
      <c r="D165" s="31">
        <f>C165*D163</f>
        <v>0</v>
      </c>
      <c r="E165" s="1"/>
      <c r="F165" s="57" t="str">
        <f>IF(D168&gt;10,"nb an insuffisant",IF(D168&gt;=5,5,"-"))</f>
        <v>-</v>
      </c>
      <c r="G165" s="41">
        <f>SUMIFS('Remboursement Mensualités'!C$14:C$133,'Remboursement Mensualités'!$F$14:$F$133,'Table rentabilité'!$F165)</f>
        <v>0</v>
      </c>
      <c r="H165" s="41">
        <f>SUMIFS('Remboursement Mensualités'!D$14:D$133,'Remboursement Mensualités'!$F$14:$F$133,'Table rentabilité'!$F165)</f>
        <v>0</v>
      </c>
      <c r="I165" s="41">
        <f>SUMIFS('Remboursement Mensualités'!E$14:E$133,'Remboursement Mensualités'!$F$14:$F$133,'Table rentabilité'!$F165)</f>
        <v>0</v>
      </c>
      <c r="J165" s="41">
        <f>SUMIFS('Remboursement Mensualités'!B$14:B$133,'Remboursement Mensualités'!$F$14:$F$133,'Table rentabilité'!$F165)</f>
        <v>0</v>
      </c>
      <c r="K165" s="41">
        <f t="shared" si="13"/>
        <v>0</v>
      </c>
      <c r="Q165" s="1"/>
      <c r="R165" s="1"/>
      <c r="S165" s="1"/>
      <c r="T165" s="1"/>
      <c r="U165" s="1"/>
      <c r="V165" s="1"/>
      <c r="W165" s="1"/>
      <c r="AA165"/>
      <c r="AB165"/>
      <c r="AC165"/>
      <c r="AD165"/>
      <c r="AE165"/>
      <c r="AF165"/>
      <c r="AG165"/>
      <c r="AH165"/>
      <c r="AI165"/>
    </row>
    <row r="166" spans="2:35" ht="16" thickBot="1" x14ac:dyDescent="0.4">
      <c r="B166" s="64" t="s">
        <v>136</v>
      </c>
      <c r="C166" s="105">
        <f>100%-(C165+C164)</f>
        <v>0.68474347576623096</v>
      </c>
      <c r="D166" s="35">
        <f>D163*C166</f>
        <v>8036474</v>
      </c>
      <c r="E166" s="1"/>
      <c r="F166" s="57" t="str">
        <f>IF(D168&gt;10,"nb an insuffisant",IF(D168&gt;=6,6,"-"))</f>
        <v>-</v>
      </c>
      <c r="G166" s="41">
        <f>SUMIFS('Remboursement Mensualités'!C$14:C$133,'Remboursement Mensualités'!$F$14:$F$133,'Table rentabilité'!$F166)</f>
        <v>0</v>
      </c>
      <c r="H166" s="41">
        <f>SUMIFS('Remboursement Mensualités'!D$14:D$133,'Remboursement Mensualités'!$F$14:$F$133,'Table rentabilité'!$F166)</f>
        <v>0</v>
      </c>
      <c r="I166" s="41">
        <f>SUMIFS('Remboursement Mensualités'!E$14:E$133,'Remboursement Mensualités'!$F$14:$F$133,'Table rentabilité'!$F166)</f>
        <v>0</v>
      </c>
      <c r="J166" s="41">
        <f>SUMIFS('Remboursement Mensualités'!B$14:B$133,'Remboursement Mensualités'!$F$14:$F$133,'Table rentabilité'!$F166)</f>
        <v>0</v>
      </c>
      <c r="K166" s="41">
        <f>SUMIFS('Remboursement Mensualités'!C$14:C$133,'Remboursement Mensualités'!$F$14:$F$133,'Table rentabilité'!$F166)</f>
        <v>0</v>
      </c>
      <c r="Q166" s="1"/>
      <c r="R166" s="1"/>
      <c r="S166" s="1"/>
      <c r="T166" s="1"/>
      <c r="U166" s="1"/>
      <c r="V166" s="1"/>
      <c r="W166" s="1"/>
      <c r="AA166"/>
      <c r="AB166"/>
      <c r="AC166"/>
      <c r="AD166"/>
      <c r="AE166"/>
      <c r="AF166"/>
      <c r="AG166"/>
      <c r="AH166"/>
      <c r="AI166"/>
    </row>
    <row r="167" spans="2:35" ht="16" thickBot="1" x14ac:dyDescent="0.4">
      <c r="B167" s="64" t="s">
        <v>137</v>
      </c>
      <c r="C167" s="58"/>
      <c r="D167" s="107">
        <v>0.12</v>
      </c>
      <c r="E167" s="1"/>
      <c r="F167" s="57" t="str">
        <f>IF(D168&gt;10,"nb an insuffisant",IF(D168&gt;=7,7,"-"))</f>
        <v>-</v>
      </c>
      <c r="G167" s="41">
        <f>SUMIFS('Remboursement Mensualités'!C$14:C$133,'Remboursement Mensualités'!$F$14:$F$133,'Table rentabilité'!$F167)</f>
        <v>0</v>
      </c>
      <c r="H167" s="41">
        <f>SUMIFS('Remboursement Mensualités'!D$14:D$133,'Remboursement Mensualités'!$F$14:$F$133,'Table rentabilité'!$F167)</f>
        <v>0</v>
      </c>
      <c r="I167" s="41">
        <f>SUMIFS('Remboursement Mensualités'!E$14:E$133,'Remboursement Mensualités'!$F$14:$F$133,'Table rentabilité'!$F167)</f>
        <v>0</v>
      </c>
      <c r="J167" s="41">
        <f>SUMIFS('Remboursement Mensualités'!B$14:B$133,'Remboursement Mensualités'!$F$14:$F$133,'Table rentabilité'!$F167)</f>
        <v>0</v>
      </c>
      <c r="K167" s="41">
        <f>SUMIFS('Remboursement Mensualités'!C$14:C$133,'Remboursement Mensualités'!$F$14:$F$133,'Table rentabilité'!$F167)</f>
        <v>0</v>
      </c>
      <c r="Q167" s="1"/>
      <c r="R167" s="1"/>
      <c r="S167" s="1"/>
      <c r="T167" s="1"/>
      <c r="U167" s="1"/>
      <c r="V167" s="1"/>
      <c r="W167" s="1"/>
      <c r="AA167"/>
      <c r="AB167"/>
      <c r="AC167"/>
      <c r="AD167"/>
      <c r="AE167"/>
      <c r="AF167"/>
      <c r="AG167"/>
      <c r="AH167"/>
      <c r="AI167"/>
    </row>
    <row r="168" spans="2:35" ht="16" thickBot="1" x14ac:dyDescent="0.4">
      <c r="B168" s="64" t="s">
        <v>138</v>
      </c>
      <c r="C168" s="60"/>
      <c r="D168" s="108">
        <v>4</v>
      </c>
      <c r="E168" s="1"/>
      <c r="F168" s="57" t="str">
        <f>IF(D168&gt;10,"nb an insuffisant",IF(D168&gt;=8,8,"-"))</f>
        <v>-</v>
      </c>
      <c r="G168" s="41">
        <f>SUMIFS('Remboursement Mensualités'!C$14:C$133,'Remboursement Mensualités'!$F$14:$F$133,'Table rentabilité'!$F168)</f>
        <v>0</v>
      </c>
      <c r="H168" s="41">
        <f>SUMIFS('Remboursement Mensualités'!D$14:D$133,'Remboursement Mensualités'!$F$14:$F$133,'Table rentabilité'!$F168)</f>
        <v>0</v>
      </c>
      <c r="I168" s="41">
        <f>SUMIFS('Remboursement Mensualités'!E$14:E$133,'Remboursement Mensualités'!$F$14:$F$133,'Table rentabilité'!$F168)</f>
        <v>0</v>
      </c>
      <c r="J168" s="41">
        <f>SUMIFS('Remboursement Mensualités'!B$14:B$133,'Remboursement Mensualités'!$F$14:$F$133,'Table rentabilité'!$F168)</f>
        <v>0</v>
      </c>
      <c r="K168" s="41">
        <f>SUMIFS('Remboursement Mensualités'!C$14:C$133,'Remboursement Mensualités'!$F$14:$F$133,'Table rentabilité'!$F168)</f>
        <v>0</v>
      </c>
      <c r="Q168" s="1"/>
      <c r="R168" s="1"/>
      <c r="S168" s="1"/>
      <c r="T168" s="1"/>
      <c r="U168" s="1"/>
      <c r="V168" s="1"/>
      <c r="W168" s="1"/>
      <c r="AA168"/>
      <c r="AB168"/>
      <c r="AC168"/>
      <c r="AD168"/>
      <c r="AE168"/>
      <c r="AF168"/>
      <c r="AG168"/>
      <c r="AH168"/>
      <c r="AI168"/>
    </row>
    <row r="169" spans="2:35" s="1" customFormat="1" ht="16" thickBot="1" x14ac:dyDescent="0.4">
      <c r="F169" s="57" t="str">
        <f>IF(D168&gt;10,"nb an insuffisant",IF(D168&gt;=9,9,"-"))</f>
        <v>-</v>
      </c>
      <c r="G169" s="41">
        <f>SUMIFS('Remboursement Mensualités'!C$14:C$133,'Remboursement Mensualités'!$F$14:$F$133,'Table rentabilité'!$F169)</f>
        <v>0</v>
      </c>
      <c r="H169" s="41">
        <f>SUMIFS('Remboursement Mensualités'!D$14:D$133,'Remboursement Mensualités'!$F$14:$F$133,'Table rentabilité'!$F169)</f>
        <v>0</v>
      </c>
      <c r="I169" s="41">
        <f>SUMIFS('Remboursement Mensualités'!E$14:E$133,'Remboursement Mensualités'!$F$14:$F$133,'Table rentabilité'!$F169)</f>
        <v>0</v>
      </c>
      <c r="J169" s="41">
        <f>SUMIFS('Remboursement Mensualités'!B$14:B$133,'Remboursement Mensualités'!$F$14:$F$133,'Table rentabilité'!$F169)</f>
        <v>0</v>
      </c>
      <c r="K169" s="41">
        <f>SUMIFS('Remboursement Mensualités'!C$14:C$133,'Remboursement Mensualités'!$F$14:$F$133,'Table rentabilité'!$F169)</f>
        <v>0</v>
      </c>
    </row>
    <row r="170" spans="2:35" s="1" customFormat="1" ht="16" thickBot="1" x14ac:dyDescent="0.4">
      <c r="F170" s="57" t="str">
        <f>IF(D168&gt;10,"nb an insuffisant",IF(D168&gt;=10,"Année 10","-"))</f>
        <v>-</v>
      </c>
      <c r="G170" s="41">
        <f>SUMIFS('Remboursement Mensualités'!C$14:C$133,'Remboursement Mensualités'!$F$14:$F$133,'Table rentabilité'!$F170)</f>
        <v>0</v>
      </c>
      <c r="H170" s="41">
        <f>SUMIFS('Remboursement Mensualités'!D$14:D$133,'Remboursement Mensualités'!$F$14:$F$133,'Table rentabilité'!$F170)</f>
        <v>0</v>
      </c>
      <c r="I170" s="41">
        <f>SUMIFS('Remboursement Mensualités'!E$14:E$133,'Remboursement Mensualités'!$F$14:$F$133,'Table rentabilité'!$F170)</f>
        <v>0</v>
      </c>
      <c r="J170" s="41">
        <f>SUMIFS('Remboursement Mensualités'!B$14:B$133,'Remboursement Mensualités'!$F$14:$F$133,'Table rentabilité'!$F170)</f>
        <v>0</v>
      </c>
      <c r="K170" s="41">
        <f>SUMIFS('Remboursement Mensualités'!C$14:C$133,'Remboursement Mensualités'!$F$14:$F$133,'Table rentabilité'!$F170)</f>
        <v>0</v>
      </c>
    </row>
    <row r="171" spans="2:35" s="1" customFormat="1" ht="16" thickBot="1" x14ac:dyDescent="0.4">
      <c r="F171" s="57" t="s">
        <v>139</v>
      </c>
      <c r="G171" s="35">
        <f>SUM(G161:G170)</f>
        <v>8036474</v>
      </c>
      <c r="H171" s="35">
        <f>SUM(H161:H170)</f>
        <v>2006024.1136737773</v>
      </c>
      <c r="I171" s="35">
        <f>SUM(I161:I170)</f>
        <v>203373357.31401056</v>
      </c>
      <c r="J171" s="35">
        <f>SUM(J161:J170)</f>
        <v>10042498.113673776</v>
      </c>
      <c r="K171" s="35">
        <f>SUM(K161:K170)</f>
        <v>836874.84280614788</v>
      </c>
    </row>
    <row r="172" spans="2:35" s="1" customFormat="1" x14ac:dyDescent="0.35"/>
    <row r="173" spans="2:35" s="1" customFormat="1" x14ac:dyDescent="0.35"/>
    <row r="174" spans="2:35" s="1" customFormat="1" ht="21" x14ac:dyDescent="0.5">
      <c r="B174" s="7" t="s">
        <v>110</v>
      </c>
      <c r="C174" s="65"/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  <c r="O174" s="65"/>
    </row>
    <row r="175" spans="2:35" s="1" customFormat="1" ht="21" x14ac:dyDescent="0.5">
      <c r="B175" s="17"/>
    </row>
    <row r="176" spans="2:35" s="1" customFormat="1" ht="16" thickBot="1" x14ac:dyDescent="0.4">
      <c r="B176" s="25" t="s">
        <v>140</v>
      </c>
      <c r="D176" s="157"/>
    </row>
    <row r="177" spans="2:35" s="1" customFormat="1" ht="16" thickBot="1" x14ac:dyDescent="0.4">
      <c r="B177" s="66" t="s">
        <v>141</v>
      </c>
      <c r="C177" s="85">
        <v>0</v>
      </c>
      <c r="D177" s="85">
        <v>1</v>
      </c>
      <c r="E177" s="85">
        <v>2</v>
      </c>
      <c r="F177" s="85">
        <v>3</v>
      </c>
      <c r="G177" s="85">
        <v>4</v>
      </c>
      <c r="H177" s="85">
        <v>5</v>
      </c>
      <c r="I177" s="85">
        <v>6</v>
      </c>
      <c r="J177" s="85">
        <v>7</v>
      </c>
      <c r="K177" s="85">
        <v>8</v>
      </c>
      <c r="L177" s="85">
        <v>9</v>
      </c>
      <c r="M177" s="85" t="s">
        <v>53</v>
      </c>
    </row>
    <row r="178" spans="2:35" ht="16" thickBot="1" x14ac:dyDescent="0.4">
      <c r="B178" s="67" t="s">
        <v>142</v>
      </c>
      <c r="C178" s="90">
        <f>D164+D166</f>
        <v>11736474</v>
      </c>
      <c r="D178" s="90">
        <f>F112</f>
        <v>12040000</v>
      </c>
      <c r="E178" s="90">
        <f>D178+($K$133*D178)</f>
        <v>12160400</v>
      </c>
      <c r="F178" s="90">
        <f>E178+($K$133*E178)</f>
        <v>12282004</v>
      </c>
      <c r="G178" s="90">
        <f t="shared" ref="G178:L178" si="14">F178+($K$133*F178)</f>
        <v>12404824.039999999</v>
      </c>
      <c r="H178" s="90">
        <f t="shared" si="14"/>
        <v>12528872.280399999</v>
      </c>
      <c r="I178" s="90">
        <f t="shared" si="14"/>
        <v>12654161.003203999</v>
      </c>
      <c r="J178" s="90">
        <f t="shared" si="14"/>
        <v>12780702.61323604</v>
      </c>
      <c r="K178" s="90">
        <f t="shared" si="14"/>
        <v>12908509.6393684</v>
      </c>
      <c r="L178" s="90">
        <f t="shared" si="14"/>
        <v>13037594.735762084</v>
      </c>
      <c r="M178" s="90">
        <f>SUM(C178:L178)</f>
        <v>124533542.31197053</v>
      </c>
      <c r="Q178" s="1"/>
      <c r="R178" s="1"/>
      <c r="S178" s="1"/>
      <c r="T178" s="1"/>
      <c r="U178" s="1"/>
      <c r="V178" s="1"/>
      <c r="W178" s="1"/>
      <c r="AC178"/>
      <c r="AD178"/>
      <c r="AE178"/>
      <c r="AF178"/>
      <c r="AG178"/>
      <c r="AH178"/>
      <c r="AI178"/>
    </row>
    <row r="179" spans="2:35" ht="16" thickBot="1" x14ac:dyDescent="0.4">
      <c r="B179" s="67" t="s">
        <v>143</v>
      </c>
      <c r="C179" s="90">
        <f>D161</f>
        <v>11736474</v>
      </c>
      <c r="D179" s="90">
        <f>F138</f>
        <v>8509392</v>
      </c>
      <c r="E179" s="90">
        <f>D179+(D179*$L$100)</f>
        <v>8594485.9199999999</v>
      </c>
      <c r="F179" s="90">
        <f>E179+(E179*$L$100)</f>
        <v>8680430.7792000007</v>
      </c>
      <c r="G179" s="90">
        <f t="shared" ref="G179:L179" si="15">F179+(F179*$L$100)</f>
        <v>8767235.0869920012</v>
      </c>
      <c r="H179" s="90">
        <f t="shared" si="15"/>
        <v>8854907.4378619213</v>
      </c>
      <c r="I179" s="90">
        <f t="shared" si="15"/>
        <v>8943456.5122405402</v>
      </c>
      <c r="J179" s="90">
        <f t="shared" si="15"/>
        <v>9032891.0773629453</v>
      </c>
      <c r="K179" s="90">
        <f t="shared" si="15"/>
        <v>9123219.9881365746</v>
      </c>
      <c r="L179" s="90">
        <f t="shared" si="15"/>
        <v>9214452.1880179401</v>
      </c>
      <c r="M179" s="90">
        <f t="shared" ref="M179:M187" si="16">SUM(C179:L179)</f>
        <v>91456944.989811912</v>
      </c>
      <c r="Q179" s="1"/>
      <c r="R179" s="1"/>
      <c r="S179" s="1"/>
      <c r="T179" s="1"/>
      <c r="U179" s="1"/>
      <c r="V179" s="1"/>
      <c r="W179" s="1"/>
      <c r="AC179"/>
      <c r="AD179"/>
      <c r="AE179"/>
      <c r="AF179"/>
      <c r="AG179"/>
      <c r="AH179"/>
      <c r="AI179"/>
    </row>
    <row r="180" spans="2:35" ht="16" thickBot="1" x14ac:dyDescent="0.4">
      <c r="B180" s="67" t="s">
        <v>144</v>
      </c>
      <c r="C180" s="90">
        <v>0</v>
      </c>
      <c r="D180" s="90">
        <f>$G$128</f>
        <v>1008905.0666666667</v>
      </c>
      <c r="E180" s="90">
        <f t="shared" ref="E180:L180" si="17">$G$128</f>
        <v>1008905.0666666667</v>
      </c>
      <c r="F180" s="90">
        <f t="shared" si="17"/>
        <v>1008905.0666666667</v>
      </c>
      <c r="G180" s="90">
        <f t="shared" si="17"/>
        <v>1008905.0666666667</v>
      </c>
      <c r="H180" s="90">
        <f t="shared" si="17"/>
        <v>1008905.0666666667</v>
      </c>
      <c r="I180" s="90">
        <f t="shared" si="17"/>
        <v>1008905.0666666667</v>
      </c>
      <c r="J180" s="90">
        <f t="shared" si="17"/>
        <v>1008905.0666666667</v>
      </c>
      <c r="K180" s="90">
        <f t="shared" si="17"/>
        <v>1008905.0666666667</v>
      </c>
      <c r="L180" s="90">
        <f t="shared" si="17"/>
        <v>1008905.0666666667</v>
      </c>
      <c r="M180" s="90">
        <f t="shared" si="16"/>
        <v>9080145.5999999996</v>
      </c>
      <c r="Q180" s="1"/>
      <c r="R180" s="1"/>
      <c r="S180" s="1"/>
      <c r="T180" s="1"/>
      <c r="U180" s="1"/>
      <c r="V180" s="1"/>
      <c r="W180" s="1"/>
      <c r="AC180"/>
      <c r="AD180"/>
      <c r="AE180"/>
      <c r="AF180"/>
      <c r="AG180"/>
      <c r="AH180"/>
      <c r="AI180"/>
    </row>
    <row r="181" spans="2:35" ht="16" thickBot="1" x14ac:dyDescent="0.4">
      <c r="B181" s="67" t="s">
        <v>145</v>
      </c>
      <c r="C181" s="90">
        <v>0</v>
      </c>
      <c r="D181" s="90">
        <f>IFERROR(INDEX($J$161:$J$170,MATCH(D177,$F$161:$F$170,0)),0)</f>
        <v>2510624.5284184441</v>
      </c>
      <c r="E181" s="90">
        <f t="shared" ref="E181:L181" si="18">IFERROR(INDEX($J$161:$J$170,MATCH(E177,$F$161:$F$170,0)),0)</f>
        <v>2510624.5284184436</v>
      </c>
      <c r="F181" s="90">
        <f t="shared" si="18"/>
        <v>2510624.5284184441</v>
      </c>
      <c r="G181" s="90">
        <f t="shared" si="18"/>
        <v>2510624.5284184441</v>
      </c>
      <c r="H181" s="90">
        <f t="shared" si="18"/>
        <v>0</v>
      </c>
      <c r="I181" s="90">
        <f t="shared" si="18"/>
        <v>0</v>
      </c>
      <c r="J181" s="90">
        <f t="shared" si="18"/>
        <v>0</v>
      </c>
      <c r="K181" s="90">
        <f t="shared" si="18"/>
        <v>0</v>
      </c>
      <c r="L181" s="90">
        <f t="shared" si="18"/>
        <v>0</v>
      </c>
      <c r="M181" s="90">
        <f t="shared" si="16"/>
        <v>10042498.113673776</v>
      </c>
      <c r="Q181" s="1"/>
      <c r="R181" s="1"/>
      <c r="S181" s="1"/>
      <c r="T181" s="1"/>
      <c r="U181" s="1"/>
      <c r="V181" s="1"/>
      <c r="W181" s="1"/>
      <c r="AC181"/>
      <c r="AD181"/>
      <c r="AE181"/>
      <c r="AF181"/>
      <c r="AG181"/>
      <c r="AH181"/>
      <c r="AI181"/>
    </row>
    <row r="182" spans="2:35" ht="16" thickBot="1" x14ac:dyDescent="0.4">
      <c r="B182" s="68" t="s">
        <v>146</v>
      </c>
      <c r="C182" s="36">
        <v>0</v>
      </c>
      <c r="D182" s="36">
        <f>D178-SUM(D179:D181)</f>
        <v>11078.404914889485</v>
      </c>
      <c r="E182" s="36">
        <f t="shared" ref="E182:L182" si="19">E178-SUM(E179:E181)</f>
        <v>46384.484914889559</v>
      </c>
      <c r="F182" s="36">
        <f t="shared" si="19"/>
        <v>82043.625714888796</v>
      </c>
      <c r="G182" s="36">
        <f t="shared" si="19"/>
        <v>118059.35792288743</v>
      </c>
      <c r="H182" s="36">
        <f t="shared" si="19"/>
        <v>2665059.775871411</v>
      </c>
      <c r="I182" s="36">
        <f t="shared" si="19"/>
        <v>2701799.4242967926</v>
      </c>
      <c r="J182" s="36">
        <f t="shared" si="19"/>
        <v>2738906.4692064282</v>
      </c>
      <c r="K182" s="36">
        <f t="shared" si="19"/>
        <v>2776384.5845651589</v>
      </c>
      <c r="L182" s="36">
        <f t="shared" si="19"/>
        <v>2814237.4810774773</v>
      </c>
      <c r="M182" s="90">
        <f t="shared" si="16"/>
        <v>13953953.608484823</v>
      </c>
      <c r="Q182" s="1"/>
      <c r="R182" s="1"/>
      <c r="S182" s="1"/>
      <c r="T182" s="1"/>
      <c r="U182" s="1"/>
      <c r="V182" s="1"/>
      <c r="W182" s="1"/>
      <c r="AC182"/>
      <c r="AD182"/>
      <c r="AE182"/>
      <c r="AF182"/>
      <c r="AG182"/>
      <c r="AH182"/>
      <c r="AI182"/>
    </row>
    <row r="183" spans="2:35" ht="16" thickBot="1" x14ac:dyDescent="0.4">
      <c r="B183" s="67" t="s">
        <v>147</v>
      </c>
      <c r="C183" s="92">
        <v>0</v>
      </c>
      <c r="D183" s="92">
        <f>IF(D182&lt;0,0,0.3*D182)</f>
        <v>3323.5214744668451</v>
      </c>
      <c r="E183" s="92">
        <f t="shared" ref="E183:L183" si="20">IF(E182&lt;0,0,0.3*E182)</f>
        <v>13915.345474466867</v>
      </c>
      <c r="F183" s="92">
        <f t="shared" si="20"/>
        <v>24613.087714466637</v>
      </c>
      <c r="G183" s="92">
        <f t="shared" si="20"/>
        <v>35417.807376866229</v>
      </c>
      <c r="H183" s="92">
        <f t="shared" si="20"/>
        <v>799517.93276142329</v>
      </c>
      <c r="I183" s="92">
        <f t="shared" si="20"/>
        <v>810539.82728903776</v>
      </c>
      <c r="J183" s="92">
        <f t="shared" si="20"/>
        <v>821671.94076192845</v>
      </c>
      <c r="K183" s="92">
        <f t="shared" si="20"/>
        <v>832915.37536954763</v>
      </c>
      <c r="L183" s="92">
        <f t="shared" si="20"/>
        <v>844271.24432324315</v>
      </c>
      <c r="M183" s="90">
        <f t="shared" si="16"/>
        <v>4186186.0825454472</v>
      </c>
      <c r="Q183" s="1"/>
      <c r="R183" s="1"/>
      <c r="S183" s="1"/>
      <c r="T183" s="1"/>
      <c r="U183" s="1"/>
      <c r="V183" s="1"/>
      <c r="W183" s="1"/>
      <c r="AC183"/>
      <c r="AD183"/>
      <c r="AE183"/>
      <c r="AF183"/>
      <c r="AG183"/>
      <c r="AH183"/>
      <c r="AI183"/>
    </row>
    <row r="184" spans="2:35" ht="16" thickBot="1" x14ac:dyDescent="0.4">
      <c r="B184" s="68" t="s">
        <v>148</v>
      </c>
      <c r="C184" s="36">
        <v>0</v>
      </c>
      <c r="D184" s="36">
        <f>D182-D183</f>
        <v>7754.88344042264</v>
      </c>
      <c r="E184" s="36">
        <f t="shared" ref="E184:L184" si="21">E182-E183</f>
        <v>32469.139440422692</v>
      </c>
      <c r="F184" s="36">
        <f t="shared" si="21"/>
        <v>57430.538000422159</v>
      </c>
      <c r="G184" s="36">
        <f t="shared" si="21"/>
        <v>82641.550546021201</v>
      </c>
      <c r="H184" s="36">
        <f t="shared" si="21"/>
        <v>1865541.8431099877</v>
      </c>
      <c r="I184" s="36">
        <f t="shared" si="21"/>
        <v>1891259.5970077547</v>
      </c>
      <c r="J184" s="36">
        <f t="shared" si="21"/>
        <v>1917234.5284444997</v>
      </c>
      <c r="K184" s="36">
        <f t="shared" si="21"/>
        <v>1943469.2091956113</v>
      </c>
      <c r="L184" s="36">
        <f t="shared" si="21"/>
        <v>1969966.2367542342</v>
      </c>
      <c r="M184" s="90">
        <f t="shared" si="16"/>
        <v>9767767.525939377</v>
      </c>
      <c r="Q184" s="1"/>
      <c r="R184" s="1"/>
      <c r="S184" s="1"/>
      <c r="T184" s="1"/>
      <c r="U184" s="1"/>
      <c r="V184" s="1"/>
      <c r="W184" s="1"/>
      <c r="AC184"/>
      <c r="AD184"/>
      <c r="AE184"/>
      <c r="AF184"/>
      <c r="AG184"/>
      <c r="AH184"/>
      <c r="AI184"/>
    </row>
    <row r="185" spans="2:35" ht="16" thickBot="1" x14ac:dyDescent="0.4">
      <c r="B185" s="68" t="s">
        <v>149</v>
      </c>
      <c r="C185" s="36">
        <f>C178-C179</f>
        <v>0</v>
      </c>
      <c r="D185" s="36">
        <f t="shared" ref="D185:L185" si="22">C185+D184</f>
        <v>7754.88344042264</v>
      </c>
      <c r="E185" s="36">
        <f t="shared" si="22"/>
        <v>40224.022880845332</v>
      </c>
      <c r="F185" s="36">
        <f>E185+F184</f>
        <v>97654.560881267491</v>
      </c>
      <c r="G185" s="36">
        <f t="shared" si="22"/>
        <v>180296.11142728868</v>
      </c>
      <c r="H185" s="36">
        <f t="shared" si="22"/>
        <v>2045837.9545372764</v>
      </c>
      <c r="I185" s="36">
        <f t="shared" si="22"/>
        <v>3937097.5515450314</v>
      </c>
      <c r="J185" s="36">
        <f t="shared" si="22"/>
        <v>5854332.0799895311</v>
      </c>
      <c r="K185" s="36">
        <f t="shared" si="22"/>
        <v>7797801.2891851421</v>
      </c>
      <c r="L185" s="36">
        <f t="shared" si="22"/>
        <v>9767767.525939377</v>
      </c>
      <c r="M185" s="90">
        <f t="shared" si="16"/>
        <v>29728765.979826182</v>
      </c>
      <c r="Q185" s="1"/>
      <c r="R185" s="1"/>
      <c r="S185" s="1"/>
      <c r="T185" s="1"/>
      <c r="U185" s="1"/>
      <c r="V185" s="1"/>
      <c r="W185" s="1"/>
      <c r="AC185"/>
      <c r="AD185"/>
      <c r="AE185"/>
      <c r="AF185"/>
      <c r="AG185"/>
      <c r="AH185"/>
      <c r="AI185"/>
    </row>
    <row r="186" spans="2:35" ht="16" thickBot="1" x14ac:dyDescent="0.4">
      <c r="B186" s="68" t="s">
        <v>150</v>
      </c>
      <c r="C186" s="89">
        <v>0</v>
      </c>
      <c r="D186" s="89">
        <f t="shared" ref="D186:L186" si="23">D184+D181-($H$171/$D$168)</f>
        <v>2016873.3834404226</v>
      </c>
      <c r="E186" s="89">
        <f t="shared" si="23"/>
        <v>2041587.6394404222</v>
      </c>
      <c r="F186" s="89">
        <f t="shared" si="23"/>
        <v>2066549.0380004218</v>
      </c>
      <c r="G186" s="89">
        <f t="shared" si="23"/>
        <v>2091760.050546021</v>
      </c>
      <c r="H186" s="89">
        <f t="shared" si="23"/>
        <v>1364035.8146915433</v>
      </c>
      <c r="I186" s="89">
        <f t="shared" si="23"/>
        <v>1389753.5685893104</v>
      </c>
      <c r="J186" s="89">
        <f t="shared" si="23"/>
        <v>1415728.5000260554</v>
      </c>
      <c r="K186" s="89">
        <f t="shared" si="23"/>
        <v>1441963.180777167</v>
      </c>
      <c r="L186" s="89">
        <f t="shared" si="23"/>
        <v>1468460.2083357899</v>
      </c>
      <c r="M186" s="90">
        <f t="shared" si="16"/>
        <v>15296711.383847155</v>
      </c>
      <c r="Q186" s="1"/>
      <c r="R186" s="1"/>
      <c r="S186" s="1"/>
      <c r="T186" s="1"/>
      <c r="U186" s="1"/>
      <c r="V186" s="1"/>
      <c r="W186" s="1"/>
      <c r="AC186"/>
      <c r="AD186"/>
      <c r="AE186"/>
      <c r="AF186"/>
      <c r="AG186"/>
      <c r="AH186"/>
      <c r="AI186"/>
    </row>
    <row r="187" spans="2:35" ht="16" thickBot="1" x14ac:dyDescent="0.4">
      <c r="B187" s="68" t="s">
        <v>151</v>
      </c>
      <c r="C187" s="89">
        <f>-C179</f>
        <v>-11736474</v>
      </c>
      <c r="D187" s="89">
        <f>C187+D186</f>
        <v>-9719600.6165595781</v>
      </c>
      <c r="E187" s="89">
        <f t="shared" ref="E187:L187" si="24">D187+E186</f>
        <v>-7678012.9771191562</v>
      </c>
      <c r="F187" s="89">
        <f>E187+F186</f>
        <v>-5611463.9391187346</v>
      </c>
      <c r="G187" s="89">
        <f t="shared" si="24"/>
        <v>-3519703.8885727134</v>
      </c>
      <c r="H187" s="89">
        <f t="shared" si="24"/>
        <v>-2155668.0738811698</v>
      </c>
      <c r="I187" s="89">
        <f t="shared" si="24"/>
        <v>-765914.50529185939</v>
      </c>
      <c r="J187" s="89">
        <f t="shared" si="24"/>
        <v>649813.99473419599</v>
      </c>
      <c r="K187" s="89">
        <f t="shared" si="24"/>
        <v>2091777.175511363</v>
      </c>
      <c r="L187" s="89">
        <f t="shared" si="24"/>
        <v>3560237.3838471528</v>
      </c>
      <c r="M187" s="90">
        <f t="shared" si="16"/>
        <v>-34885009.446450502</v>
      </c>
      <c r="Q187" s="1"/>
      <c r="R187" s="1"/>
      <c r="S187" s="1"/>
      <c r="T187" s="1"/>
      <c r="U187" s="1"/>
      <c r="V187" s="1"/>
      <c r="W187" s="1"/>
      <c r="AC187"/>
      <c r="AD187"/>
      <c r="AE187"/>
      <c r="AF187"/>
      <c r="AG187"/>
      <c r="AH187"/>
      <c r="AI187"/>
    </row>
    <row r="188" spans="2:35" x14ac:dyDescent="0.35">
      <c r="B188" s="1"/>
      <c r="C188" s="98"/>
      <c r="D188" s="98"/>
      <c r="E188" s="98"/>
      <c r="F188" s="98"/>
      <c r="G188" s="98"/>
      <c r="H188" s="98"/>
      <c r="I188" s="98"/>
      <c r="J188" s="98"/>
      <c r="K188" s="98"/>
      <c r="L188" s="98"/>
      <c r="Q188" s="1"/>
      <c r="R188" s="1"/>
      <c r="S188" s="1"/>
      <c r="T188" s="1"/>
      <c r="U188" s="1"/>
      <c r="V188" s="1"/>
      <c r="W188" s="1"/>
      <c r="AB188"/>
      <c r="AC188"/>
      <c r="AD188"/>
      <c r="AE188"/>
      <c r="AF188"/>
      <c r="AG188"/>
      <c r="AH188"/>
      <c r="AI188"/>
    </row>
    <row r="189" spans="2:35" x14ac:dyDescent="0.35">
      <c r="B189" s="1"/>
      <c r="D189" s="1"/>
      <c r="E189" s="1"/>
      <c r="F189" s="1"/>
      <c r="G189" s="1"/>
      <c r="H189" s="1"/>
      <c r="I189" s="1"/>
      <c r="Q189" s="1"/>
      <c r="R189" s="1"/>
      <c r="S189" s="1"/>
      <c r="T189" s="1"/>
      <c r="U189" s="1"/>
      <c r="V189" s="1"/>
      <c r="W189" s="1"/>
      <c r="AB189"/>
      <c r="AC189"/>
      <c r="AD189"/>
      <c r="AE189"/>
      <c r="AF189"/>
      <c r="AG189"/>
      <c r="AH189"/>
      <c r="AI189"/>
    </row>
    <row r="190" spans="2:35" ht="21" x14ac:dyDescent="0.5">
      <c r="B190" s="7" t="s">
        <v>152</v>
      </c>
      <c r="C190" s="65"/>
      <c r="D190" s="65"/>
      <c r="E190" s="65"/>
      <c r="F190" s="65"/>
      <c r="G190" s="65"/>
      <c r="H190" s="65"/>
      <c r="I190" s="65"/>
      <c r="J190" s="65"/>
      <c r="K190" s="65"/>
      <c r="L190" s="65"/>
      <c r="M190" s="65"/>
      <c r="Q190" s="1"/>
      <c r="R190" s="1"/>
      <c r="S190" s="1"/>
      <c r="T190" s="1"/>
      <c r="U190" s="1"/>
      <c r="V190" s="1"/>
      <c r="W190" s="1"/>
      <c r="AB190"/>
      <c r="AC190"/>
      <c r="AD190"/>
      <c r="AE190"/>
      <c r="AF190"/>
      <c r="AG190"/>
      <c r="AH190"/>
      <c r="AI190"/>
    </row>
    <row r="191" spans="2:35" ht="16" thickBot="1" x14ac:dyDescent="0.4">
      <c r="B191" s="1"/>
      <c r="C191" s="1"/>
      <c r="D191" s="1"/>
      <c r="E191" s="1"/>
      <c r="F191" s="1"/>
      <c r="G191" s="1"/>
      <c r="H191" s="1"/>
      <c r="I191" s="1"/>
      <c r="Q191" s="1"/>
      <c r="R191" s="1"/>
      <c r="S191" s="1"/>
      <c r="T191" s="1"/>
      <c r="U191" s="1"/>
      <c r="V191" s="1"/>
      <c r="W191" s="1"/>
      <c r="AB191"/>
      <c r="AC191"/>
      <c r="AD191"/>
      <c r="AE191"/>
      <c r="AF191"/>
      <c r="AG191"/>
      <c r="AH191"/>
      <c r="AI191"/>
    </row>
    <row r="192" spans="2:35" ht="19" thickBot="1" x14ac:dyDescent="0.5">
      <c r="B192" s="88" t="s">
        <v>153</v>
      </c>
      <c r="C192" s="93">
        <f>NPV(F192,IF(D177&lt;=H192,D186,0),IF(E177&lt;=H192,E186,0),IF(F177&lt;=H192,F186,0),IF(G177&lt;=H192,G186,0),IF(H177&lt;=H192,H186,0),IF(I177&lt;=H192,I186,0),IF(J177&lt;=H192,J186,0),IF(K177&lt;=H192,K186,0),IF(L177&lt;=H192,L186,0))-D161</f>
        <v>576701.9535446465</v>
      </c>
      <c r="D192" s="1" t="s">
        <v>154</v>
      </c>
      <c r="E192" s="87" t="s">
        <v>155</v>
      </c>
      <c r="F192" s="96">
        <v>0.05</v>
      </c>
      <c r="G192" s="87" t="s">
        <v>156</v>
      </c>
      <c r="H192" s="97">
        <v>9</v>
      </c>
      <c r="N192" s="221">
        <f>-D161+IF(H192&gt;=D177,(D184+D181-H171/D168)*((1+F192)^-1),0)+IF(H192&gt;=E177,(E184+E181-H171/D168)*((1+F192)^-2),0)+IF(H192&gt;=F177,(F184+F181-H171/D168)*((1+F192)^-3),0)+IF(H192&gt;=G177,(G184+G181-H171/D168)*((1+F192)^-4),0)+IF(H192&gt;=H177,(H184+H181-H171/D168)*((1+F192)^-5),0)+IF(H192&gt;=I177,(I184+I181-H171/D168)*((1+F192)^-6),0)+IF(H192&gt;=J177,(J184+J181-H171/D168)*((1+F192)^-7),0)+IF(H192&gt;=K177,(K184+K181-H171/D168)*((1+F192)^-8),0)+IF(H192&gt;=L177,(L184+L181-H171/D168)*((1+F192)^-9),0)</f>
        <v>576701.95354464534</v>
      </c>
      <c r="O192" s="221" t="s">
        <v>157</v>
      </c>
      <c r="P192" s="220"/>
      <c r="Q192" s="220"/>
      <c r="R192" s="220"/>
      <c r="S192" s="220"/>
      <c r="T192" s="220"/>
      <c r="U192" s="220"/>
      <c r="V192" s="220"/>
      <c r="W192" s="220"/>
      <c r="AB192"/>
      <c r="AC192"/>
      <c r="AD192"/>
      <c r="AE192"/>
      <c r="AF192"/>
      <c r="AG192"/>
      <c r="AH192"/>
      <c r="AI192"/>
    </row>
    <row r="193" spans="2:35" ht="19" thickBot="1" x14ac:dyDescent="0.5">
      <c r="B193" s="88" t="s">
        <v>158</v>
      </c>
      <c r="C193" s="94">
        <f>IRR(N193:W193)</f>
        <v>6.1912527747830959E-2</v>
      </c>
      <c r="D193" s="1"/>
      <c r="E193" s="1"/>
      <c r="F193" s="1"/>
      <c r="G193" s="1"/>
      <c r="H193" s="1"/>
      <c r="I193" s="1"/>
      <c r="N193" s="223">
        <f>-D161</f>
        <v>-11736474</v>
      </c>
      <c r="O193" s="221">
        <f>IF(D177&lt;=H192,D186,0)</f>
        <v>2016873.3834404226</v>
      </c>
      <c r="P193" s="221">
        <f>IF(E177&lt;=H192,E186,0)</f>
        <v>2041587.6394404222</v>
      </c>
      <c r="Q193" s="221">
        <f>IF(F177&lt;=H192,F186,0)</f>
        <v>2066549.0380004218</v>
      </c>
      <c r="R193" s="221">
        <f>IF(G177&lt;=H192,G186,0)</f>
        <v>2091760.050546021</v>
      </c>
      <c r="S193" s="221">
        <f>IF(H177&lt;=H192,H186,0)</f>
        <v>1364035.8146915433</v>
      </c>
      <c r="T193" s="221">
        <f>IF(I177&lt;=H192,I186,0)</f>
        <v>1389753.5685893104</v>
      </c>
      <c r="U193" s="221">
        <f>IF(J177&lt;=H192,J186,0)</f>
        <v>1415728.5000260554</v>
      </c>
      <c r="V193" s="221">
        <f>IF(K177&lt;=H192,K186,0)</f>
        <v>1441963.180777167</v>
      </c>
      <c r="W193" s="221">
        <f>IF(L177&lt;=H192,L186,0)</f>
        <v>1468460.2083357899</v>
      </c>
      <c r="AB193"/>
      <c r="AC193"/>
      <c r="AD193"/>
      <c r="AE193"/>
      <c r="AF193"/>
      <c r="AG193"/>
      <c r="AH193"/>
      <c r="AI193"/>
    </row>
    <row r="194" spans="2:35" ht="19" thickBot="1" x14ac:dyDescent="0.5">
      <c r="B194" s="88" t="s">
        <v>159</v>
      </c>
      <c r="C194" s="95">
        <f>SUM(O193:W193)/D161</f>
        <v>1.3033481251564272</v>
      </c>
      <c r="D194" s="91" t="str">
        <f>"Pour 1000 CFA investis, on récupère "&amp;ROUND(N194,0)&amp;" CFA"</f>
        <v>Pour 1000 CFA investis, on récupère 303 CFA</v>
      </c>
      <c r="E194" s="1"/>
      <c r="F194" s="1"/>
      <c r="G194" s="1"/>
      <c r="H194" s="1"/>
      <c r="I194" s="1"/>
      <c r="N194" s="224">
        <f>(C194-1)*1000</f>
        <v>303.34812515642716</v>
      </c>
      <c r="O194" s="220"/>
      <c r="P194" s="220"/>
      <c r="Q194" s="220"/>
      <c r="R194" s="220"/>
      <c r="S194" s="220"/>
      <c r="T194" s="220"/>
      <c r="U194" s="220"/>
      <c r="V194" s="220"/>
      <c r="W194" s="220"/>
      <c r="AB194"/>
      <c r="AC194"/>
      <c r="AD194"/>
      <c r="AE194"/>
      <c r="AF194"/>
      <c r="AG194"/>
      <c r="AH194"/>
      <c r="AI194"/>
    </row>
    <row r="195" spans="2:35" ht="19" thickBot="1" x14ac:dyDescent="0.5">
      <c r="B195" s="88" t="s">
        <v>160</v>
      </c>
      <c r="C195" s="111">
        <f>N195+(-P195/(O195-P195))</f>
        <v>7</v>
      </c>
      <c r="D195" s="1" t="str">
        <f>"Le délai de récupération est de "&amp;ROUNDDOWN(C195,0)&amp;" ans et "&amp;ROUNDDOWN((C195-ROUNDDOWN(C195,0))*12,0)&amp;" mois"</f>
        <v>Le délai de récupération est de 7 ans et 0 mois</v>
      </c>
      <c r="E195" s="1"/>
      <c r="F195" s="86"/>
      <c r="G195" s="1"/>
      <c r="H195" s="1"/>
      <c r="N195" s="221">
        <f>IF(AND(L187&lt;0,L177&lt;=H192),L177,IF(AND(K187&lt;0,K177&lt;=H192),K177,IF(AND(J187&lt;0,J177&lt;=H192),J177,IF(AND(I187&lt;0,I177&lt;=H192),I177,IF(AND(H187&lt;0,H177&lt;=H192),H177,IF(AND(G187&lt;0,G177&lt;=H192),G177,IF(AND(F187&lt;0,F177&lt;=H192),F177,IF(AND(E187&lt;0,E177&lt;=H192),E177,IF(AND(D187&lt;0,D177&lt;=H192),D177,IF(AND(C187&lt;0,C177&lt;=H192),C177))))))))))</f>
        <v>6</v>
      </c>
      <c r="O195" s="221"/>
      <c r="P195" s="221">
        <f>IF(AND(L187&lt;0,L177&lt;=H192),L187,IF(AND(K187&lt;0,K177&lt;=H192),K187,IF(AND(J187&lt;0,J177&lt;=H192),J187,IF(AND(I187&lt;0,I177&lt;=H192),I187,IF(AND(H187&lt;0,H177&lt;=H192),H187,IF(AND(G187&lt;0,G177&lt;=H192),G187,IF(AND(F187&lt;0,F177&lt;=H192),F187,IF(AND(E187&lt;0,E177&lt;=H192),E187,IF(AND(D187&lt;0,D177&lt;=H192),D187,IF(AND(C187&lt;0,C177&lt;=H192),C187))))))))))</f>
        <v>-765914.50529185939</v>
      </c>
      <c r="Q195" s="220"/>
      <c r="R195" s="220"/>
      <c r="S195" s="220"/>
      <c r="T195" s="220"/>
      <c r="U195" s="220"/>
      <c r="V195" s="220"/>
      <c r="W195" s="220"/>
      <c r="AB195"/>
      <c r="AC195"/>
      <c r="AD195"/>
      <c r="AE195"/>
      <c r="AF195"/>
      <c r="AG195"/>
      <c r="AH195"/>
      <c r="AI195"/>
    </row>
    <row r="196" spans="2:35" ht="19" thickBot="1" x14ac:dyDescent="0.5">
      <c r="B196" s="88" t="s">
        <v>161</v>
      </c>
      <c r="C196" s="111">
        <f>(D178-D179)/(D181)</f>
        <v>1.4062668312350513</v>
      </c>
      <c r="D196" s="1"/>
      <c r="E196" s="1"/>
      <c r="F196" s="1"/>
      <c r="G196" s="1"/>
      <c r="H196" s="1"/>
      <c r="I196" s="1"/>
      <c r="Q196" s="1"/>
      <c r="R196" s="1"/>
      <c r="S196" s="1"/>
      <c r="T196" s="1"/>
      <c r="U196" s="1"/>
      <c r="V196" s="1"/>
      <c r="W196" s="1"/>
      <c r="AB196"/>
      <c r="AC196"/>
      <c r="AD196"/>
      <c r="AE196"/>
      <c r="AF196"/>
      <c r="AG196"/>
      <c r="AH196"/>
      <c r="AI196"/>
    </row>
    <row r="197" spans="2:35" x14ac:dyDescent="0.35">
      <c r="B197" s="1"/>
      <c r="C197" s="1"/>
      <c r="D197" s="1"/>
      <c r="E197" s="1"/>
      <c r="F197" s="1"/>
      <c r="G197" s="1"/>
      <c r="H197" s="1"/>
      <c r="I197" s="1"/>
      <c r="Q197" s="1"/>
      <c r="R197" s="1"/>
      <c r="S197" s="1"/>
      <c r="T197" s="1"/>
      <c r="U197" s="1"/>
      <c r="V197" s="1"/>
      <c r="W197" s="1"/>
      <c r="AB197"/>
      <c r="AC197"/>
      <c r="AD197"/>
      <c r="AE197"/>
      <c r="AF197"/>
      <c r="AG197"/>
      <c r="AH197"/>
      <c r="AI197"/>
    </row>
    <row r="198" spans="2:35" x14ac:dyDescent="0.35">
      <c r="B198" s="1"/>
      <c r="C198" s="1"/>
      <c r="D198" s="1"/>
      <c r="E198" s="1"/>
      <c r="F198" s="1"/>
      <c r="G198" s="1"/>
      <c r="H198" s="1"/>
      <c r="I198" s="1"/>
      <c r="Q198" s="1"/>
      <c r="R198" s="1"/>
      <c r="S198" s="1"/>
      <c r="T198" s="1"/>
      <c r="U198" s="1"/>
      <c r="V198" s="1"/>
      <c r="W198" s="1"/>
      <c r="AB198"/>
      <c r="AC198"/>
      <c r="AD198"/>
      <c r="AE198"/>
      <c r="AF198"/>
      <c r="AG198"/>
      <c r="AH198"/>
      <c r="AI198"/>
    </row>
    <row r="199" spans="2:35" x14ac:dyDescent="0.35">
      <c r="B199" s="1"/>
      <c r="C199" s="1"/>
      <c r="D199" s="1"/>
      <c r="E199" s="1"/>
      <c r="F199" s="1"/>
      <c r="G199" s="1"/>
      <c r="H199" s="1"/>
      <c r="I199" s="1"/>
      <c r="Q199" s="1"/>
      <c r="R199" s="1"/>
      <c r="S199" s="1"/>
      <c r="T199" s="1"/>
      <c r="U199" s="1"/>
      <c r="V199" s="1"/>
      <c r="W199" s="1"/>
      <c r="AB199"/>
      <c r="AC199"/>
      <c r="AD199"/>
      <c r="AE199"/>
      <c r="AF199"/>
      <c r="AG199"/>
      <c r="AH199"/>
      <c r="AI199"/>
    </row>
    <row r="200" spans="2:35" x14ac:dyDescent="0.35">
      <c r="B200" s="1"/>
      <c r="C200" s="1"/>
      <c r="D200" s="1"/>
      <c r="E200" s="1"/>
      <c r="F200" s="1"/>
      <c r="G200" s="1"/>
      <c r="H200" s="1"/>
      <c r="I200" s="1"/>
      <c r="Q200" s="1"/>
      <c r="R200" s="1"/>
      <c r="S200" s="1"/>
      <c r="T200" s="1"/>
      <c r="U200" s="1"/>
      <c r="V200" s="1"/>
      <c r="W200" s="1"/>
      <c r="AB200"/>
      <c r="AC200"/>
      <c r="AD200"/>
      <c r="AE200"/>
      <c r="AF200"/>
      <c r="AG200"/>
      <c r="AH200"/>
      <c r="AI200"/>
    </row>
    <row r="201" spans="2:35" x14ac:dyDescent="0.35">
      <c r="B201" s="1"/>
      <c r="C201" s="1"/>
      <c r="D201" s="1"/>
      <c r="E201" s="1"/>
      <c r="F201" s="1"/>
      <c r="G201" s="1"/>
      <c r="H201" s="1"/>
      <c r="I201" s="1"/>
      <c r="Q201" s="1"/>
      <c r="R201" s="1"/>
      <c r="S201" s="1"/>
      <c r="T201" s="1"/>
      <c r="U201" s="1"/>
      <c r="V201" s="1"/>
      <c r="W201" s="1"/>
      <c r="AB201"/>
      <c r="AC201"/>
      <c r="AD201"/>
      <c r="AE201"/>
      <c r="AF201"/>
      <c r="AG201"/>
      <c r="AH201"/>
      <c r="AI201"/>
    </row>
    <row r="202" spans="2:35" x14ac:dyDescent="0.35">
      <c r="B202" s="1"/>
      <c r="C202" s="1"/>
      <c r="D202" s="1"/>
      <c r="E202" s="1"/>
      <c r="F202" s="1"/>
      <c r="G202" s="1"/>
      <c r="H202" s="1"/>
      <c r="I202" s="1"/>
      <c r="Q202" s="1"/>
      <c r="R202" s="1"/>
      <c r="S202" s="1"/>
      <c r="T202" s="1"/>
      <c r="U202" s="1"/>
      <c r="V202" s="1"/>
      <c r="W202" s="1"/>
      <c r="AB202"/>
      <c r="AC202"/>
      <c r="AD202"/>
      <c r="AE202"/>
      <c r="AF202"/>
      <c r="AG202"/>
      <c r="AH202"/>
      <c r="AI202"/>
    </row>
    <row r="203" spans="2:35" x14ac:dyDescent="0.35">
      <c r="B203" s="1"/>
      <c r="C203" s="1"/>
      <c r="D203" s="1"/>
      <c r="E203" s="1"/>
      <c r="F203" s="1"/>
      <c r="G203" s="1"/>
      <c r="H203" s="1"/>
      <c r="I203" s="1"/>
      <c r="Q203" s="1"/>
      <c r="R203" s="1"/>
      <c r="S203" s="1"/>
      <c r="T203" s="1"/>
      <c r="U203" s="1"/>
      <c r="V203" s="1"/>
      <c r="W203" s="1"/>
      <c r="AB203"/>
      <c r="AC203"/>
      <c r="AD203"/>
      <c r="AE203"/>
      <c r="AF203"/>
      <c r="AG203"/>
      <c r="AH203"/>
      <c r="AI203"/>
    </row>
    <row r="204" spans="2:35" x14ac:dyDescent="0.35">
      <c r="B204" s="1"/>
      <c r="C204" s="1"/>
      <c r="D204" s="1"/>
      <c r="E204" s="1"/>
      <c r="F204" s="1"/>
      <c r="G204" s="1"/>
      <c r="H204" s="1"/>
      <c r="I204" s="1"/>
      <c r="Q204" s="1"/>
      <c r="R204" s="1"/>
      <c r="S204" s="1"/>
      <c r="T204" s="1"/>
      <c r="U204" s="1"/>
      <c r="V204" s="1"/>
      <c r="W204" s="1"/>
      <c r="AB204"/>
      <c r="AC204"/>
      <c r="AD204"/>
      <c r="AE204"/>
      <c r="AF204"/>
      <c r="AG204"/>
      <c r="AH204"/>
      <c r="AI204"/>
    </row>
    <row r="205" spans="2:35" x14ac:dyDescent="0.35">
      <c r="B205" s="1"/>
      <c r="C205" s="1"/>
      <c r="D205" s="1"/>
      <c r="E205" s="1"/>
      <c r="F205" s="1"/>
      <c r="G205" s="1"/>
      <c r="H205" s="1"/>
      <c r="I205" s="1"/>
      <c r="Q205" s="1"/>
      <c r="R205" s="1"/>
      <c r="S205" s="1"/>
      <c r="T205" s="1"/>
      <c r="U205" s="1"/>
      <c r="V205" s="1"/>
      <c r="W205" s="1"/>
      <c r="AB205"/>
      <c r="AC205"/>
      <c r="AD205"/>
      <c r="AE205"/>
      <c r="AF205"/>
      <c r="AG205"/>
      <c r="AH205"/>
      <c r="AI205"/>
    </row>
    <row r="206" spans="2:35" x14ac:dyDescent="0.35">
      <c r="B206" s="1"/>
      <c r="C206" s="1"/>
      <c r="D206" s="1"/>
      <c r="E206" s="1"/>
      <c r="F206" s="1"/>
      <c r="G206" s="1"/>
      <c r="H206" s="1"/>
      <c r="I206" s="1"/>
      <c r="Q206" s="1"/>
      <c r="R206" s="1"/>
      <c r="S206" s="1"/>
      <c r="T206" s="1"/>
      <c r="U206" s="1"/>
      <c r="V206" s="1"/>
      <c r="W206" s="1"/>
      <c r="AB206"/>
      <c r="AC206"/>
      <c r="AD206"/>
      <c r="AE206"/>
      <c r="AF206"/>
      <c r="AG206"/>
      <c r="AH206"/>
      <c r="AI206"/>
    </row>
    <row r="207" spans="2:35" x14ac:dyDescent="0.35">
      <c r="B207" s="1"/>
      <c r="C207" s="1"/>
      <c r="D207" s="1"/>
      <c r="E207" s="1"/>
      <c r="F207" s="1"/>
      <c r="G207" s="1"/>
      <c r="H207" s="1"/>
      <c r="I207" s="1"/>
      <c r="Q207" s="1"/>
      <c r="R207" s="1"/>
      <c r="S207" s="1"/>
      <c r="T207" s="1"/>
      <c r="U207" s="1"/>
      <c r="V207" s="1"/>
      <c r="W207" s="1"/>
      <c r="AB207"/>
      <c r="AC207"/>
      <c r="AD207"/>
      <c r="AE207"/>
      <c r="AF207"/>
      <c r="AG207"/>
      <c r="AH207"/>
      <c r="AI207"/>
    </row>
    <row r="208" spans="2:35" x14ac:dyDescent="0.35">
      <c r="B208" s="1"/>
      <c r="C208" s="1"/>
      <c r="D208" s="1"/>
      <c r="E208" s="1"/>
      <c r="F208" s="1"/>
      <c r="G208" s="1"/>
      <c r="H208" s="1"/>
      <c r="I208" s="1"/>
      <c r="Q208" s="1"/>
      <c r="R208" s="1"/>
      <c r="S208" s="1"/>
      <c r="T208" s="1"/>
      <c r="U208" s="1"/>
      <c r="V208" s="1"/>
      <c r="W208" s="1"/>
      <c r="AB208"/>
      <c r="AC208"/>
      <c r="AD208"/>
      <c r="AE208"/>
      <c r="AF208"/>
      <c r="AG208"/>
      <c r="AH208"/>
      <c r="AI208"/>
    </row>
    <row r="209" spans="2:35" x14ac:dyDescent="0.35">
      <c r="B209" s="1"/>
      <c r="C209" s="1"/>
      <c r="D209" s="1"/>
      <c r="E209" s="1"/>
      <c r="F209" s="1"/>
      <c r="G209" s="1"/>
      <c r="H209" s="1"/>
      <c r="I209" s="1"/>
      <c r="Q209" s="1"/>
      <c r="R209" s="1"/>
      <c r="S209" s="1"/>
      <c r="T209" s="1"/>
      <c r="U209" s="1"/>
      <c r="V209" s="1"/>
      <c r="W209" s="1"/>
      <c r="AB209"/>
      <c r="AC209"/>
      <c r="AD209"/>
      <c r="AE209"/>
      <c r="AF209"/>
      <c r="AG209"/>
      <c r="AH209"/>
      <c r="AI209"/>
    </row>
    <row r="210" spans="2:35" x14ac:dyDescent="0.35">
      <c r="B210" s="1"/>
      <c r="C210" s="1"/>
      <c r="D210" s="1"/>
      <c r="E210" s="1"/>
      <c r="F210" s="1"/>
      <c r="G210" s="1"/>
      <c r="H210" s="1"/>
      <c r="I210" s="1"/>
      <c r="Q210" s="1"/>
      <c r="R210" s="1"/>
      <c r="S210" s="1"/>
      <c r="T210" s="1"/>
      <c r="U210" s="1"/>
      <c r="V210" s="1"/>
      <c r="W210" s="1"/>
      <c r="AB210"/>
      <c r="AC210"/>
      <c r="AD210"/>
      <c r="AE210"/>
      <c r="AF210"/>
      <c r="AG210"/>
      <c r="AH210"/>
      <c r="AI210"/>
    </row>
    <row r="211" spans="2:35" x14ac:dyDescent="0.35">
      <c r="B211" s="1"/>
      <c r="C211" s="1"/>
      <c r="D211" s="1"/>
      <c r="E211" s="1"/>
      <c r="F211" s="1"/>
      <c r="G211" s="1"/>
      <c r="H211" s="1"/>
      <c r="I211" s="1"/>
      <c r="Q211" s="1"/>
      <c r="R211" s="1"/>
      <c r="S211" s="1"/>
      <c r="T211" s="1"/>
      <c r="U211" s="1"/>
      <c r="V211" s="1"/>
      <c r="W211" s="1"/>
      <c r="AB211"/>
      <c r="AC211"/>
      <c r="AD211"/>
      <c r="AE211"/>
      <c r="AF211"/>
      <c r="AG211"/>
      <c r="AH211"/>
      <c r="AI211"/>
    </row>
    <row r="212" spans="2:35" x14ac:dyDescent="0.35">
      <c r="B212" s="1"/>
      <c r="C212" s="1"/>
      <c r="D212" s="1"/>
      <c r="E212" s="1"/>
      <c r="F212" s="1"/>
      <c r="G212" s="1"/>
      <c r="H212" s="1"/>
      <c r="I212" s="1"/>
      <c r="Q212" s="1"/>
      <c r="R212" s="1"/>
      <c r="S212" s="1"/>
      <c r="T212" s="1"/>
      <c r="U212" s="1"/>
      <c r="V212" s="1"/>
      <c r="W212" s="1"/>
      <c r="AB212"/>
      <c r="AC212"/>
      <c r="AD212"/>
      <c r="AE212"/>
      <c r="AF212"/>
      <c r="AG212"/>
      <c r="AH212"/>
      <c r="AI212"/>
    </row>
    <row r="213" spans="2:35" x14ac:dyDescent="0.35">
      <c r="B213" s="1"/>
      <c r="C213" s="1"/>
      <c r="D213" s="1"/>
      <c r="E213" s="1"/>
      <c r="F213" s="1"/>
      <c r="G213" s="1"/>
      <c r="H213" s="1"/>
      <c r="I213" s="1"/>
      <c r="Q213" s="1"/>
      <c r="R213" s="1"/>
      <c r="S213" s="1"/>
      <c r="T213" s="1"/>
      <c r="U213" s="1"/>
      <c r="V213" s="1"/>
      <c r="W213" s="1"/>
      <c r="AB213"/>
      <c r="AC213"/>
      <c r="AD213"/>
      <c r="AE213"/>
      <c r="AF213"/>
      <c r="AG213"/>
      <c r="AH213"/>
      <c r="AI213"/>
    </row>
    <row r="214" spans="2:35" x14ac:dyDescent="0.35">
      <c r="B214" s="1"/>
      <c r="C214" s="1"/>
      <c r="D214" s="1"/>
      <c r="E214" s="1"/>
      <c r="F214" s="1"/>
      <c r="G214" s="1"/>
      <c r="H214" s="1"/>
      <c r="I214" s="1"/>
      <c r="Q214" s="1"/>
      <c r="R214" s="1"/>
      <c r="S214" s="1"/>
      <c r="T214" s="1"/>
      <c r="U214" s="1"/>
      <c r="V214" s="1"/>
      <c r="W214" s="1"/>
      <c r="AB214"/>
      <c r="AC214"/>
      <c r="AD214"/>
      <c r="AE214"/>
      <c r="AF214"/>
      <c r="AG214"/>
      <c r="AH214"/>
      <c r="AI214"/>
    </row>
    <row r="215" spans="2:35" x14ac:dyDescent="0.35">
      <c r="B215" s="1"/>
      <c r="C215" s="1"/>
      <c r="D215" s="1"/>
      <c r="E215" s="1"/>
      <c r="F215" s="1"/>
      <c r="G215" s="1"/>
      <c r="H215" s="1"/>
      <c r="I215" s="1"/>
      <c r="Q215" s="1"/>
      <c r="R215" s="1"/>
      <c r="S215" s="1"/>
      <c r="T215" s="1"/>
      <c r="U215" s="1"/>
      <c r="V215" s="1"/>
      <c r="W215" s="1"/>
      <c r="AB215"/>
      <c r="AC215"/>
      <c r="AD215"/>
      <c r="AE215"/>
      <c r="AF215"/>
      <c r="AG215"/>
      <c r="AH215"/>
      <c r="AI215"/>
    </row>
    <row r="216" spans="2:35" x14ac:dyDescent="0.35">
      <c r="B216" s="1"/>
      <c r="C216" s="1"/>
      <c r="D216" s="1"/>
      <c r="E216" s="1"/>
      <c r="F216" s="1"/>
      <c r="G216" s="1"/>
      <c r="H216" s="1"/>
      <c r="I216" s="1"/>
      <c r="Q216" s="1"/>
      <c r="R216" s="1"/>
      <c r="S216" s="1"/>
      <c r="T216" s="1"/>
      <c r="U216" s="1"/>
      <c r="V216" s="1"/>
      <c r="W216" s="1"/>
      <c r="AB216"/>
      <c r="AC216"/>
      <c r="AD216"/>
      <c r="AE216"/>
      <c r="AF216"/>
      <c r="AG216"/>
      <c r="AH216"/>
      <c r="AI216"/>
    </row>
    <row r="217" spans="2:35" x14ac:dyDescent="0.35">
      <c r="B217" s="1"/>
      <c r="C217" s="1"/>
      <c r="D217" s="1"/>
      <c r="E217" s="1"/>
      <c r="F217" s="1"/>
      <c r="G217" s="1"/>
      <c r="H217" s="1"/>
      <c r="I217" s="1"/>
      <c r="Q217" s="1"/>
      <c r="R217" s="1"/>
      <c r="S217" s="1"/>
      <c r="T217" s="1"/>
      <c r="U217" s="1"/>
      <c r="V217" s="1"/>
      <c r="W217" s="1"/>
      <c r="AB217"/>
      <c r="AC217"/>
      <c r="AD217"/>
      <c r="AE217"/>
      <c r="AF217"/>
      <c r="AG217"/>
      <c r="AH217"/>
      <c r="AI217"/>
    </row>
    <row r="218" spans="2:35" x14ac:dyDescent="0.35">
      <c r="B218" s="1"/>
      <c r="C218" s="1"/>
      <c r="D218" s="1"/>
      <c r="E218" s="1"/>
      <c r="F218" s="1"/>
      <c r="G218" s="1"/>
      <c r="H218" s="1"/>
      <c r="I218" s="1"/>
      <c r="Q218" s="1"/>
      <c r="R218" s="1"/>
      <c r="S218" s="1"/>
      <c r="T218" s="1"/>
      <c r="U218" s="1"/>
      <c r="V218" s="1"/>
      <c r="W218" s="1"/>
      <c r="AB218"/>
      <c r="AC218"/>
      <c r="AD218"/>
      <c r="AE218"/>
      <c r="AF218"/>
      <c r="AG218"/>
      <c r="AH218"/>
      <c r="AI218"/>
    </row>
    <row r="219" spans="2:35" x14ac:dyDescent="0.35">
      <c r="B219" s="1"/>
      <c r="C219" s="1"/>
      <c r="D219" s="1"/>
      <c r="E219" s="1"/>
      <c r="F219" s="1"/>
      <c r="G219" s="1"/>
      <c r="H219" s="1"/>
      <c r="I219" s="1"/>
      <c r="Q219" s="1"/>
      <c r="R219" s="1"/>
      <c r="S219" s="1"/>
      <c r="T219" s="1"/>
      <c r="U219" s="1"/>
      <c r="V219" s="1"/>
      <c r="W219" s="1"/>
      <c r="AB219"/>
      <c r="AC219"/>
      <c r="AD219"/>
      <c r="AE219"/>
      <c r="AF219"/>
      <c r="AG219"/>
      <c r="AH219"/>
      <c r="AI219"/>
    </row>
    <row r="220" spans="2:35" x14ac:dyDescent="0.35">
      <c r="B220" s="1"/>
      <c r="C220" s="1"/>
      <c r="D220" s="1"/>
      <c r="E220" s="1"/>
      <c r="F220" s="1"/>
      <c r="G220" s="1"/>
      <c r="H220" s="1"/>
      <c r="I220" s="1"/>
      <c r="Q220" s="1"/>
      <c r="R220" s="1"/>
      <c r="S220" s="1"/>
      <c r="T220" s="1"/>
      <c r="U220" s="1"/>
      <c r="V220" s="1"/>
      <c r="W220" s="1"/>
      <c r="AB220"/>
      <c r="AC220"/>
      <c r="AD220"/>
      <c r="AE220"/>
      <c r="AF220"/>
      <c r="AG220"/>
      <c r="AH220"/>
      <c r="AI220"/>
    </row>
    <row r="221" spans="2:35" x14ac:dyDescent="0.35">
      <c r="B221" s="1"/>
      <c r="C221" s="1"/>
      <c r="D221" s="1"/>
      <c r="E221" s="1"/>
      <c r="F221" s="1"/>
      <c r="G221" s="1"/>
      <c r="H221" s="1"/>
      <c r="I221" s="1"/>
      <c r="Q221" s="1"/>
      <c r="R221" s="1"/>
      <c r="S221" s="1"/>
      <c r="T221" s="1"/>
      <c r="U221" s="1"/>
      <c r="V221" s="1"/>
      <c r="W221" s="1"/>
      <c r="AB221"/>
      <c r="AC221"/>
      <c r="AD221"/>
      <c r="AE221"/>
      <c r="AF221"/>
      <c r="AG221"/>
      <c r="AH221"/>
      <c r="AI221"/>
    </row>
    <row r="222" spans="2:35" x14ac:dyDescent="0.35">
      <c r="B222" s="1"/>
      <c r="C222" s="1"/>
      <c r="D222" s="1"/>
      <c r="E222" s="1"/>
      <c r="F222" s="1"/>
      <c r="G222" s="1"/>
      <c r="H222" s="1"/>
      <c r="I222" s="1"/>
      <c r="Q222" s="1"/>
      <c r="R222" s="1"/>
      <c r="S222" s="1"/>
      <c r="T222" s="1"/>
      <c r="U222" s="1"/>
      <c r="V222" s="1"/>
      <c r="W222" s="1"/>
      <c r="AB222"/>
      <c r="AC222"/>
      <c r="AD222"/>
      <c r="AE222"/>
      <c r="AF222"/>
      <c r="AG222"/>
      <c r="AH222"/>
      <c r="AI222"/>
    </row>
    <row r="223" spans="2:35" x14ac:dyDescent="0.35">
      <c r="B223" s="1"/>
      <c r="C223" s="1"/>
      <c r="D223" s="1"/>
      <c r="E223" s="1"/>
      <c r="F223" s="1"/>
      <c r="G223" s="1"/>
      <c r="H223" s="1"/>
      <c r="I223" s="1"/>
      <c r="Q223" s="1"/>
      <c r="R223" s="1"/>
      <c r="S223" s="1"/>
      <c r="T223" s="1"/>
      <c r="U223" s="1"/>
      <c r="V223" s="1"/>
      <c r="W223" s="1"/>
      <c r="AB223"/>
      <c r="AC223"/>
      <c r="AD223"/>
      <c r="AE223"/>
      <c r="AF223"/>
      <c r="AG223"/>
      <c r="AH223"/>
      <c r="AI223"/>
    </row>
    <row r="224" spans="2:35" x14ac:dyDescent="0.35">
      <c r="B224" s="1"/>
      <c r="C224" s="1"/>
      <c r="D224" s="1"/>
      <c r="E224" s="1"/>
      <c r="F224" s="1"/>
      <c r="G224" s="1"/>
      <c r="H224" s="1"/>
      <c r="I224" s="1"/>
      <c r="Q224" s="1"/>
      <c r="R224" s="1"/>
      <c r="S224" s="1"/>
      <c r="T224" s="1"/>
      <c r="U224" s="1"/>
      <c r="V224" s="1"/>
      <c r="W224" s="1"/>
      <c r="AB224"/>
      <c r="AC224"/>
      <c r="AD224"/>
      <c r="AE224"/>
      <c r="AF224"/>
      <c r="AG224"/>
      <c r="AH224"/>
      <c r="AI224"/>
    </row>
    <row r="225" spans="2:35" x14ac:dyDescent="0.35">
      <c r="B225" s="1"/>
      <c r="C225" s="1"/>
      <c r="D225" s="1"/>
      <c r="E225" s="1"/>
      <c r="F225" s="1"/>
      <c r="G225" s="1"/>
      <c r="H225" s="1"/>
      <c r="I225" s="1"/>
      <c r="Q225" s="1"/>
      <c r="R225" s="1"/>
      <c r="S225" s="1"/>
      <c r="T225" s="1"/>
      <c r="U225" s="1"/>
      <c r="V225" s="1"/>
      <c r="W225" s="1"/>
      <c r="AB225"/>
      <c r="AC225"/>
      <c r="AD225"/>
      <c r="AE225"/>
      <c r="AF225"/>
      <c r="AG225"/>
      <c r="AH225"/>
      <c r="AI225"/>
    </row>
    <row r="226" spans="2:35" x14ac:dyDescent="0.35">
      <c r="B226" s="1"/>
      <c r="C226" s="1"/>
      <c r="D226" s="1"/>
      <c r="E226" s="1"/>
      <c r="F226" s="1"/>
      <c r="G226" s="1"/>
      <c r="H226" s="1"/>
      <c r="I226" s="1"/>
      <c r="Q226" s="1"/>
      <c r="R226" s="1"/>
      <c r="S226" s="1"/>
      <c r="T226" s="1"/>
      <c r="U226" s="1"/>
      <c r="V226" s="1"/>
      <c r="W226" s="1"/>
      <c r="AB226"/>
      <c r="AC226"/>
      <c r="AD226"/>
      <c r="AE226"/>
      <c r="AF226"/>
      <c r="AG226"/>
      <c r="AH226"/>
      <c r="AI226"/>
    </row>
    <row r="227" spans="2:35" x14ac:dyDescent="0.35">
      <c r="B227" s="1"/>
      <c r="C227" s="1"/>
      <c r="D227" s="1"/>
      <c r="E227" s="1"/>
      <c r="F227" s="1"/>
      <c r="G227" s="1"/>
      <c r="H227" s="1"/>
      <c r="I227" s="1"/>
      <c r="Q227" s="1"/>
      <c r="R227" s="1"/>
      <c r="S227" s="1"/>
      <c r="T227" s="1"/>
      <c r="U227" s="1"/>
      <c r="V227" s="1"/>
      <c r="W227" s="1"/>
      <c r="AB227"/>
      <c r="AC227"/>
      <c r="AD227"/>
      <c r="AE227"/>
      <c r="AF227"/>
      <c r="AG227"/>
      <c r="AH227"/>
      <c r="AI227"/>
    </row>
    <row r="228" spans="2:35" x14ac:dyDescent="0.35">
      <c r="B228" s="1"/>
      <c r="C228" s="1"/>
      <c r="D228" s="1"/>
      <c r="E228" s="1"/>
      <c r="F228" s="1"/>
      <c r="G228" s="1"/>
      <c r="H228" s="1"/>
      <c r="I228" s="1"/>
      <c r="Q228" s="1"/>
      <c r="R228" s="1"/>
      <c r="S228" s="1"/>
      <c r="T228" s="1"/>
      <c r="U228" s="1"/>
      <c r="V228" s="1"/>
      <c r="W228" s="1"/>
      <c r="AB228"/>
      <c r="AC228"/>
      <c r="AD228"/>
      <c r="AE228"/>
      <c r="AF228"/>
      <c r="AG228"/>
      <c r="AH228"/>
      <c r="AI228"/>
    </row>
    <row r="229" spans="2:35" x14ac:dyDescent="0.35">
      <c r="B229" s="1"/>
      <c r="C229" s="1"/>
      <c r="D229" s="1"/>
      <c r="E229" s="1"/>
      <c r="F229" s="1"/>
      <c r="G229" s="1"/>
      <c r="H229" s="1"/>
      <c r="I229" s="1"/>
      <c r="Q229" s="1"/>
      <c r="R229" s="1"/>
      <c r="S229" s="1"/>
      <c r="T229" s="1"/>
      <c r="U229" s="1"/>
      <c r="V229" s="1"/>
      <c r="W229" s="1"/>
      <c r="AB229"/>
      <c r="AC229"/>
      <c r="AD229"/>
      <c r="AE229"/>
      <c r="AF229"/>
      <c r="AG229"/>
      <c r="AH229"/>
      <c r="AI229"/>
    </row>
    <row r="230" spans="2:35" x14ac:dyDescent="0.35">
      <c r="B230" s="1"/>
      <c r="C230" s="1"/>
      <c r="D230" s="1"/>
      <c r="E230" s="1"/>
      <c r="F230" s="1"/>
      <c r="G230" s="1"/>
      <c r="H230" s="1"/>
      <c r="I230" s="1"/>
      <c r="Q230" s="1"/>
      <c r="R230" s="1"/>
      <c r="S230" s="1"/>
      <c r="T230" s="1"/>
      <c r="U230" s="1"/>
      <c r="V230" s="1"/>
      <c r="W230" s="1"/>
      <c r="AB230"/>
      <c r="AC230"/>
      <c r="AD230"/>
      <c r="AE230"/>
      <c r="AF230"/>
      <c r="AG230"/>
      <c r="AH230"/>
      <c r="AI230"/>
    </row>
    <row r="231" spans="2:35" x14ac:dyDescent="0.35">
      <c r="B231" s="1"/>
      <c r="C231" s="1"/>
      <c r="D231" s="1"/>
      <c r="E231" s="1"/>
      <c r="F231" s="1"/>
      <c r="G231" s="1"/>
      <c r="H231" s="1"/>
      <c r="I231" s="1"/>
      <c r="Q231" s="1"/>
      <c r="R231" s="1"/>
      <c r="S231" s="1"/>
      <c r="T231" s="1"/>
      <c r="U231" s="1"/>
      <c r="V231" s="1"/>
      <c r="W231" s="1"/>
      <c r="AB231"/>
      <c r="AC231"/>
      <c r="AD231"/>
      <c r="AE231"/>
      <c r="AF231"/>
      <c r="AG231"/>
      <c r="AH231"/>
      <c r="AI231"/>
    </row>
    <row r="232" spans="2:35" x14ac:dyDescent="0.35">
      <c r="B232" s="1"/>
      <c r="C232" s="1"/>
      <c r="D232" s="1"/>
      <c r="E232" s="1"/>
      <c r="F232" s="1"/>
      <c r="G232" s="1"/>
      <c r="H232" s="1"/>
      <c r="I232" s="1"/>
      <c r="Q232" s="1"/>
      <c r="R232" s="1"/>
      <c r="S232" s="1"/>
      <c r="T232" s="1"/>
      <c r="U232" s="1"/>
      <c r="V232" s="1"/>
      <c r="W232" s="1"/>
      <c r="AB232"/>
      <c r="AC232"/>
      <c r="AD232"/>
      <c r="AE232"/>
      <c r="AF232"/>
      <c r="AG232"/>
      <c r="AH232"/>
      <c r="AI232"/>
    </row>
    <row r="233" spans="2:35" x14ac:dyDescent="0.35">
      <c r="B233" s="1"/>
      <c r="C233" s="1"/>
      <c r="D233" s="1"/>
      <c r="E233" s="1"/>
      <c r="F233" s="1"/>
      <c r="G233" s="1"/>
      <c r="H233" s="1"/>
      <c r="I233" s="1"/>
      <c r="Q233" s="1"/>
      <c r="R233" s="1"/>
      <c r="S233" s="1"/>
      <c r="T233" s="1"/>
      <c r="U233" s="1"/>
      <c r="V233" s="1"/>
      <c r="W233" s="1"/>
      <c r="AB233"/>
      <c r="AC233"/>
      <c r="AD233"/>
      <c r="AE233"/>
      <c r="AF233"/>
      <c r="AG233"/>
      <c r="AH233"/>
      <c r="AI233"/>
    </row>
    <row r="234" spans="2:35" x14ac:dyDescent="0.35">
      <c r="B234" s="1"/>
      <c r="C234" s="1"/>
      <c r="D234" s="1"/>
      <c r="E234" s="1"/>
      <c r="F234" s="1"/>
      <c r="G234" s="1"/>
      <c r="H234" s="1"/>
      <c r="I234" s="1"/>
      <c r="Q234" s="1"/>
      <c r="R234" s="1"/>
      <c r="S234" s="1"/>
      <c r="T234" s="1"/>
      <c r="U234" s="1"/>
      <c r="V234" s="1"/>
      <c r="W234" s="1"/>
      <c r="AB234"/>
      <c r="AC234"/>
      <c r="AD234"/>
      <c r="AE234"/>
      <c r="AF234"/>
      <c r="AG234"/>
      <c r="AH234"/>
      <c r="AI234"/>
    </row>
    <row r="235" spans="2:35" x14ac:dyDescent="0.35">
      <c r="B235" s="1"/>
      <c r="C235" s="1"/>
      <c r="D235" s="1"/>
      <c r="E235" s="1"/>
      <c r="F235" s="1"/>
      <c r="G235" s="1"/>
      <c r="H235" s="1"/>
      <c r="I235" s="1"/>
      <c r="Q235" s="1"/>
      <c r="R235" s="1"/>
      <c r="S235" s="1"/>
      <c r="T235" s="1"/>
      <c r="U235" s="1"/>
      <c r="V235" s="1"/>
      <c r="W235" s="1"/>
      <c r="AB235"/>
      <c r="AC235"/>
      <c r="AD235"/>
      <c r="AE235"/>
      <c r="AF235"/>
      <c r="AG235"/>
      <c r="AH235"/>
      <c r="AI235"/>
    </row>
    <row r="236" spans="2:35" x14ac:dyDescent="0.35">
      <c r="B236" s="1"/>
      <c r="C236" s="1"/>
      <c r="D236" s="1"/>
      <c r="E236" s="1"/>
      <c r="F236" s="1"/>
      <c r="G236" s="1"/>
      <c r="H236" s="1"/>
      <c r="I236" s="1"/>
      <c r="Q236" s="1"/>
      <c r="R236" s="1"/>
      <c r="S236" s="1"/>
      <c r="T236" s="1"/>
      <c r="U236" s="1"/>
      <c r="V236" s="1"/>
      <c r="W236" s="1"/>
      <c r="AB236"/>
      <c r="AC236"/>
      <c r="AD236"/>
      <c r="AE236"/>
      <c r="AF236"/>
      <c r="AG236"/>
      <c r="AH236"/>
      <c r="AI236"/>
    </row>
    <row r="237" spans="2:35" x14ac:dyDescent="0.35">
      <c r="B237" s="1"/>
      <c r="C237" s="1"/>
      <c r="D237" s="1"/>
      <c r="E237" s="1"/>
      <c r="F237" s="1"/>
      <c r="G237" s="1"/>
      <c r="H237" s="1"/>
      <c r="I237" s="1"/>
      <c r="Q237" s="1"/>
      <c r="R237" s="1"/>
      <c r="S237" s="1"/>
      <c r="T237" s="1"/>
      <c r="U237" s="1"/>
      <c r="V237" s="1"/>
      <c r="W237" s="1"/>
      <c r="AB237"/>
      <c r="AC237"/>
      <c r="AD237"/>
      <c r="AE237"/>
      <c r="AF237"/>
      <c r="AG237"/>
      <c r="AH237"/>
      <c r="AI237"/>
    </row>
    <row r="238" spans="2:35" x14ac:dyDescent="0.35">
      <c r="B238" s="1"/>
      <c r="C238" s="1"/>
      <c r="D238" s="1"/>
      <c r="E238" s="1"/>
      <c r="F238" s="1"/>
      <c r="G238" s="1"/>
      <c r="H238" s="1"/>
      <c r="I238" s="1"/>
      <c r="Q238" s="1"/>
      <c r="R238" s="1"/>
      <c r="S238" s="1"/>
      <c r="T238" s="1"/>
      <c r="U238" s="1"/>
      <c r="V238" s="1"/>
      <c r="W238" s="1"/>
      <c r="AB238"/>
      <c r="AC238"/>
      <c r="AD238"/>
      <c r="AE238"/>
      <c r="AF238"/>
      <c r="AG238"/>
      <c r="AH238"/>
      <c r="AI238"/>
    </row>
    <row r="239" spans="2:35" x14ac:dyDescent="0.35">
      <c r="B239" s="1"/>
      <c r="C239" s="1"/>
      <c r="D239" s="1"/>
      <c r="E239" s="1"/>
      <c r="F239" s="1"/>
      <c r="G239" s="1"/>
      <c r="H239" s="1"/>
      <c r="I239" s="1"/>
      <c r="Q239" s="1"/>
      <c r="R239" s="1"/>
      <c r="S239" s="1"/>
      <c r="T239" s="1"/>
      <c r="U239" s="1"/>
      <c r="V239" s="1"/>
      <c r="W239" s="1"/>
      <c r="AB239"/>
      <c r="AC239"/>
      <c r="AD239"/>
      <c r="AE239"/>
      <c r="AF239"/>
      <c r="AG239"/>
      <c r="AH239"/>
      <c r="AI239"/>
    </row>
    <row r="240" spans="2:35" x14ac:dyDescent="0.35">
      <c r="B240" s="1"/>
      <c r="C240" s="1"/>
      <c r="D240" s="1"/>
      <c r="E240" s="1"/>
      <c r="F240" s="1"/>
      <c r="G240" s="1"/>
      <c r="H240" s="1"/>
      <c r="I240" s="1"/>
      <c r="Q240" s="1"/>
      <c r="R240" s="1"/>
      <c r="S240" s="1"/>
      <c r="T240" s="1"/>
      <c r="U240" s="1"/>
      <c r="V240" s="1"/>
      <c r="W240" s="1"/>
      <c r="AB240"/>
      <c r="AC240"/>
      <c r="AD240"/>
      <c r="AE240"/>
      <c r="AF240"/>
      <c r="AG240"/>
      <c r="AH240"/>
      <c r="AI240"/>
    </row>
    <row r="241" spans="2:35" x14ac:dyDescent="0.35">
      <c r="B241" s="1"/>
      <c r="C241" s="1"/>
      <c r="D241" s="1"/>
      <c r="E241" s="1"/>
      <c r="F241" s="1"/>
      <c r="G241" s="1"/>
      <c r="H241" s="1"/>
      <c r="I241" s="1"/>
      <c r="Q241" s="1"/>
      <c r="R241" s="1"/>
      <c r="S241" s="1"/>
      <c r="T241" s="1"/>
      <c r="U241" s="1"/>
      <c r="V241" s="1"/>
      <c r="W241" s="1"/>
      <c r="AB241"/>
      <c r="AC241"/>
      <c r="AD241"/>
      <c r="AE241"/>
      <c r="AF241"/>
      <c r="AG241"/>
      <c r="AH241"/>
      <c r="AI241"/>
    </row>
    <row r="242" spans="2:35" x14ac:dyDescent="0.35">
      <c r="B242" s="1"/>
      <c r="C242" s="1"/>
      <c r="D242" s="1"/>
      <c r="E242" s="1"/>
      <c r="F242" s="1"/>
      <c r="G242" s="1"/>
      <c r="H242" s="1"/>
      <c r="I242" s="1"/>
      <c r="Q242" s="1"/>
      <c r="R242" s="1"/>
      <c r="S242" s="1"/>
      <c r="T242" s="1"/>
      <c r="U242" s="1"/>
      <c r="V242" s="1"/>
      <c r="W242" s="1"/>
      <c r="AB242"/>
      <c r="AC242"/>
      <c r="AD242"/>
      <c r="AE242"/>
      <c r="AF242"/>
      <c r="AG242"/>
      <c r="AH242"/>
      <c r="AI242"/>
    </row>
    <row r="243" spans="2:35" x14ac:dyDescent="0.35">
      <c r="B243" s="1"/>
      <c r="C243" s="1"/>
      <c r="D243" s="1"/>
      <c r="E243" s="1"/>
      <c r="F243" s="1"/>
      <c r="G243" s="1"/>
      <c r="H243" s="1"/>
      <c r="I243" s="1"/>
      <c r="Q243" s="1"/>
      <c r="R243" s="1"/>
      <c r="S243" s="1"/>
      <c r="T243" s="1"/>
      <c r="U243" s="1"/>
      <c r="V243" s="1"/>
      <c r="W243" s="1"/>
      <c r="AB243"/>
      <c r="AC243"/>
      <c r="AD243"/>
      <c r="AE243"/>
      <c r="AF243"/>
      <c r="AG243"/>
      <c r="AH243"/>
      <c r="AI243"/>
    </row>
    <row r="244" spans="2:35" x14ac:dyDescent="0.35">
      <c r="B244" s="1"/>
      <c r="C244" s="1"/>
      <c r="D244" s="1"/>
      <c r="E244" s="1"/>
      <c r="F244" s="1"/>
      <c r="G244" s="1"/>
      <c r="H244" s="1"/>
      <c r="I244" s="1"/>
      <c r="Q244" s="1"/>
      <c r="R244" s="1"/>
      <c r="S244" s="1"/>
      <c r="T244" s="1"/>
      <c r="U244" s="1"/>
      <c r="V244" s="1"/>
      <c r="W244" s="1"/>
      <c r="AB244"/>
      <c r="AC244"/>
      <c r="AD244"/>
      <c r="AE244"/>
      <c r="AF244"/>
      <c r="AG244"/>
      <c r="AH244"/>
      <c r="AI244"/>
    </row>
    <row r="245" spans="2:35" x14ac:dyDescent="0.35">
      <c r="B245" s="1"/>
      <c r="C245" s="1"/>
      <c r="D245" s="1"/>
      <c r="E245" s="1"/>
      <c r="F245" s="1"/>
      <c r="G245" s="1"/>
      <c r="H245" s="1"/>
      <c r="I245" s="1"/>
      <c r="Q245" s="1"/>
      <c r="R245" s="1"/>
      <c r="S245" s="1"/>
      <c r="T245" s="1"/>
      <c r="U245" s="1"/>
      <c r="V245" s="1"/>
      <c r="W245" s="1"/>
      <c r="AB245"/>
      <c r="AC245"/>
      <c r="AD245"/>
      <c r="AE245"/>
      <c r="AF245"/>
      <c r="AG245"/>
      <c r="AH245"/>
      <c r="AI245"/>
    </row>
    <row r="246" spans="2:35" x14ac:dyDescent="0.35">
      <c r="B246" s="1"/>
      <c r="C246" s="1"/>
      <c r="D246" s="1"/>
      <c r="E246" s="1"/>
      <c r="F246" s="1"/>
      <c r="G246" s="1"/>
      <c r="H246" s="1"/>
      <c r="I246" s="1"/>
      <c r="Q246" s="1"/>
      <c r="R246" s="1"/>
      <c r="S246" s="1"/>
      <c r="T246" s="1"/>
      <c r="U246" s="1"/>
      <c r="V246" s="1"/>
      <c r="W246" s="1"/>
      <c r="AB246"/>
      <c r="AC246"/>
      <c r="AD246"/>
      <c r="AE246"/>
      <c r="AF246"/>
      <c r="AG246"/>
      <c r="AH246"/>
      <c r="AI246"/>
    </row>
    <row r="247" spans="2:35" x14ac:dyDescent="0.35">
      <c r="B247" s="1"/>
      <c r="C247" s="1"/>
      <c r="D247" s="1"/>
      <c r="E247" s="1"/>
      <c r="F247" s="1"/>
      <c r="G247" s="1"/>
      <c r="H247" s="1"/>
      <c r="I247" s="1"/>
      <c r="Q247" s="1"/>
      <c r="R247" s="1"/>
      <c r="S247" s="1"/>
      <c r="T247" s="1"/>
      <c r="U247" s="1"/>
      <c r="V247" s="1"/>
      <c r="W247" s="1"/>
      <c r="AB247"/>
      <c r="AC247"/>
      <c r="AD247"/>
      <c r="AE247"/>
      <c r="AF247"/>
      <c r="AG247"/>
      <c r="AH247"/>
      <c r="AI247"/>
    </row>
    <row r="248" spans="2:35" x14ac:dyDescent="0.35">
      <c r="B248" s="1"/>
      <c r="C248" s="1"/>
      <c r="D248" s="1"/>
      <c r="E248" s="1"/>
      <c r="F248" s="1"/>
      <c r="G248" s="1"/>
      <c r="H248" s="1"/>
      <c r="I248" s="1"/>
      <c r="Q248" s="1"/>
      <c r="R248" s="1"/>
      <c r="S248" s="1"/>
      <c r="T248" s="1"/>
      <c r="U248" s="1"/>
      <c r="V248" s="1"/>
      <c r="W248" s="1"/>
      <c r="AB248"/>
      <c r="AC248"/>
      <c r="AD248"/>
      <c r="AE248"/>
      <c r="AF248"/>
      <c r="AG248"/>
      <c r="AH248"/>
      <c r="AI248"/>
    </row>
    <row r="249" spans="2:35" x14ac:dyDescent="0.35">
      <c r="B249" s="1"/>
      <c r="C249" s="1"/>
      <c r="D249" s="1"/>
      <c r="E249" s="1"/>
      <c r="F249" s="1"/>
      <c r="G249" s="1"/>
      <c r="H249" s="1"/>
      <c r="I249" s="1"/>
      <c r="Q249" s="1"/>
      <c r="R249" s="1"/>
      <c r="S249" s="1"/>
      <c r="T249" s="1"/>
      <c r="U249" s="1"/>
      <c r="V249" s="1"/>
      <c r="W249" s="1"/>
      <c r="AB249"/>
      <c r="AC249"/>
      <c r="AD249"/>
      <c r="AE249"/>
      <c r="AF249"/>
      <c r="AG249"/>
      <c r="AH249"/>
      <c r="AI249"/>
    </row>
    <row r="250" spans="2:35" x14ac:dyDescent="0.35">
      <c r="B250" s="1"/>
      <c r="C250" s="1"/>
      <c r="D250" s="1"/>
      <c r="E250" s="1"/>
      <c r="F250" s="1"/>
      <c r="G250" s="1"/>
      <c r="H250" s="1"/>
      <c r="I250" s="1"/>
      <c r="Q250" s="1"/>
      <c r="R250" s="1"/>
      <c r="S250" s="1"/>
      <c r="T250" s="1"/>
      <c r="U250" s="1"/>
      <c r="V250" s="1"/>
      <c r="W250" s="1"/>
      <c r="AB250"/>
      <c r="AC250"/>
      <c r="AD250"/>
      <c r="AE250"/>
      <c r="AF250"/>
      <c r="AG250"/>
      <c r="AH250"/>
      <c r="AI250"/>
    </row>
    <row r="251" spans="2:35" x14ac:dyDescent="0.35">
      <c r="B251" s="1"/>
      <c r="C251" s="1"/>
      <c r="D251" s="1"/>
      <c r="E251" s="1"/>
      <c r="F251" s="1"/>
      <c r="G251" s="1"/>
      <c r="H251" s="1"/>
      <c r="I251" s="1"/>
      <c r="Q251" s="1"/>
      <c r="R251" s="1"/>
      <c r="S251" s="1"/>
      <c r="T251" s="1"/>
      <c r="U251" s="1"/>
      <c r="V251" s="1"/>
      <c r="W251" s="1"/>
      <c r="AB251"/>
      <c r="AC251"/>
      <c r="AD251"/>
      <c r="AE251"/>
      <c r="AF251"/>
      <c r="AG251"/>
      <c r="AH251"/>
      <c r="AI251"/>
    </row>
    <row r="252" spans="2:35" x14ac:dyDescent="0.35">
      <c r="B252" s="1"/>
      <c r="C252" s="1"/>
      <c r="D252" s="1"/>
      <c r="E252" s="1"/>
      <c r="F252" s="1"/>
      <c r="G252" s="1"/>
      <c r="H252" s="1"/>
      <c r="I252" s="1"/>
      <c r="Q252" s="1"/>
      <c r="R252" s="1"/>
      <c r="S252" s="1"/>
      <c r="T252" s="1"/>
      <c r="U252" s="1"/>
      <c r="V252" s="1"/>
      <c r="W252" s="1"/>
      <c r="AB252"/>
      <c r="AC252"/>
      <c r="AD252"/>
      <c r="AE252"/>
      <c r="AF252"/>
      <c r="AG252"/>
      <c r="AH252"/>
      <c r="AI252"/>
    </row>
    <row r="253" spans="2:35" x14ac:dyDescent="0.35">
      <c r="B253" s="1"/>
      <c r="C253" s="1"/>
      <c r="D253" s="1"/>
      <c r="E253" s="1"/>
      <c r="F253" s="1"/>
      <c r="G253" s="1"/>
      <c r="H253" s="1"/>
      <c r="I253" s="1"/>
      <c r="Q253" s="1"/>
      <c r="R253" s="1"/>
      <c r="S253" s="1"/>
      <c r="T253" s="1"/>
      <c r="U253" s="1"/>
      <c r="V253" s="1"/>
      <c r="W253" s="1"/>
      <c r="AB253"/>
      <c r="AC253"/>
      <c r="AD253"/>
      <c r="AE253"/>
      <c r="AF253"/>
      <c r="AG253"/>
      <c r="AH253"/>
      <c r="AI253"/>
    </row>
    <row r="254" spans="2:35" x14ac:dyDescent="0.35">
      <c r="B254" s="1"/>
      <c r="C254" s="1"/>
      <c r="D254" s="1"/>
      <c r="E254" s="1"/>
      <c r="F254" s="1"/>
      <c r="G254" s="1"/>
      <c r="H254" s="1"/>
      <c r="I254" s="1"/>
      <c r="Q254" s="1"/>
      <c r="R254" s="1"/>
      <c r="S254" s="1"/>
      <c r="T254" s="1"/>
      <c r="U254" s="1"/>
      <c r="V254" s="1"/>
      <c r="W254" s="1"/>
      <c r="AB254"/>
      <c r="AC254"/>
      <c r="AD254"/>
      <c r="AE254"/>
      <c r="AF254"/>
      <c r="AG254"/>
      <c r="AH254"/>
      <c r="AI254"/>
    </row>
    <row r="255" spans="2:35" x14ac:dyDescent="0.35">
      <c r="B255" s="1"/>
      <c r="C255" s="1"/>
      <c r="D255" s="1"/>
      <c r="E255" s="1"/>
      <c r="F255" s="1"/>
      <c r="G255" s="1"/>
      <c r="H255" s="1"/>
      <c r="I255" s="1"/>
      <c r="Q255" s="1"/>
      <c r="R255" s="1"/>
      <c r="S255" s="1"/>
      <c r="T255" s="1"/>
      <c r="U255" s="1"/>
      <c r="V255" s="1"/>
      <c r="W255" s="1"/>
      <c r="AB255"/>
      <c r="AC255"/>
      <c r="AD255"/>
      <c r="AE255"/>
      <c r="AF255"/>
      <c r="AG255"/>
      <c r="AH255"/>
      <c r="AI255"/>
    </row>
    <row r="256" spans="2:35" x14ac:dyDescent="0.35">
      <c r="B256" s="1"/>
      <c r="C256" s="1"/>
      <c r="D256" s="1"/>
      <c r="E256" s="1"/>
      <c r="F256" s="1"/>
      <c r="G256" s="1"/>
      <c r="H256" s="1"/>
      <c r="I256" s="1"/>
      <c r="Q256" s="1"/>
      <c r="R256" s="1"/>
      <c r="S256" s="1"/>
      <c r="T256" s="1"/>
      <c r="U256" s="1"/>
      <c r="V256" s="1"/>
      <c r="W256" s="1"/>
      <c r="AB256"/>
      <c r="AC256"/>
      <c r="AD256"/>
      <c r="AE256"/>
      <c r="AF256"/>
      <c r="AG256"/>
      <c r="AH256"/>
      <c r="AI256"/>
    </row>
    <row r="257" spans="2:35" x14ac:dyDescent="0.35">
      <c r="B257" s="1"/>
      <c r="C257" s="1"/>
      <c r="D257" s="1"/>
      <c r="E257" s="1"/>
      <c r="F257" s="1"/>
      <c r="G257" s="1"/>
      <c r="H257" s="1"/>
      <c r="I257" s="1"/>
      <c r="Q257" s="1"/>
      <c r="R257" s="1"/>
      <c r="S257" s="1"/>
      <c r="T257" s="1"/>
      <c r="U257" s="1"/>
      <c r="V257" s="1"/>
      <c r="W257" s="1"/>
      <c r="AB257"/>
      <c r="AC257"/>
      <c r="AD257"/>
      <c r="AE257"/>
      <c r="AF257"/>
      <c r="AG257"/>
      <c r="AH257"/>
      <c r="AI257"/>
    </row>
    <row r="258" spans="2:35" x14ac:dyDescent="0.35">
      <c r="B258" s="1"/>
      <c r="C258" s="1"/>
      <c r="D258" s="1"/>
      <c r="E258" s="1"/>
      <c r="F258" s="1"/>
      <c r="G258" s="1"/>
      <c r="H258" s="1"/>
      <c r="I258" s="1"/>
      <c r="Q258" s="1"/>
      <c r="R258" s="1"/>
      <c r="S258" s="1"/>
      <c r="T258" s="1"/>
      <c r="U258" s="1"/>
      <c r="V258" s="1"/>
      <c r="W258" s="1"/>
      <c r="AB258"/>
      <c r="AC258"/>
      <c r="AD258"/>
      <c r="AE258"/>
      <c r="AF258"/>
      <c r="AG258"/>
      <c r="AH258"/>
      <c r="AI258"/>
    </row>
    <row r="259" spans="2:35" x14ac:dyDescent="0.35">
      <c r="B259" s="1"/>
      <c r="C259" s="1"/>
      <c r="D259" s="1"/>
      <c r="E259" s="1"/>
      <c r="F259" s="1"/>
      <c r="G259" s="1"/>
      <c r="H259" s="1"/>
      <c r="I259" s="1"/>
      <c r="Q259" s="1"/>
      <c r="R259" s="1"/>
      <c r="S259" s="1"/>
      <c r="T259" s="1"/>
      <c r="U259" s="1"/>
      <c r="V259" s="1"/>
      <c r="W259" s="1"/>
      <c r="AB259"/>
      <c r="AC259"/>
      <c r="AD259"/>
      <c r="AE259"/>
      <c r="AF259"/>
      <c r="AG259"/>
      <c r="AH259"/>
      <c r="AI259"/>
    </row>
    <row r="260" spans="2:35" x14ac:dyDescent="0.35">
      <c r="B260" s="1"/>
      <c r="C260" s="1"/>
      <c r="D260" s="1"/>
      <c r="E260" s="1"/>
      <c r="F260" s="1"/>
      <c r="G260" s="1"/>
      <c r="H260" s="1"/>
      <c r="I260" s="1"/>
      <c r="Q260" s="1"/>
      <c r="R260" s="1"/>
      <c r="S260" s="1"/>
      <c r="T260" s="1"/>
      <c r="U260" s="1"/>
      <c r="V260" s="1"/>
      <c r="W260" s="1"/>
      <c r="AB260"/>
      <c r="AC260"/>
      <c r="AD260"/>
      <c r="AE260"/>
      <c r="AF260"/>
      <c r="AG260"/>
      <c r="AH260"/>
      <c r="AI260"/>
    </row>
    <row r="261" spans="2:35" x14ac:dyDescent="0.35">
      <c r="B261" s="1"/>
      <c r="C261" s="1"/>
      <c r="D261" s="1"/>
      <c r="E261" s="1"/>
      <c r="F261" s="1"/>
      <c r="G261" s="1"/>
      <c r="H261" s="1"/>
      <c r="I261" s="1"/>
      <c r="Q261" s="1"/>
      <c r="R261" s="1"/>
      <c r="S261" s="1"/>
      <c r="T261" s="1"/>
      <c r="U261" s="1"/>
      <c r="V261" s="1"/>
      <c r="W261" s="1"/>
      <c r="AB261"/>
      <c r="AC261"/>
      <c r="AD261"/>
      <c r="AE261"/>
      <c r="AF261"/>
      <c r="AG261"/>
      <c r="AH261"/>
      <c r="AI261"/>
    </row>
    <row r="262" spans="2:35" x14ac:dyDescent="0.35">
      <c r="B262" s="1"/>
      <c r="C262" s="1"/>
      <c r="D262" s="1"/>
      <c r="E262" s="1"/>
      <c r="F262" s="1"/>
      <c r="G262" s="1"/>
      <c r="H262" s="1"/>
      <c r="I262" s="1"/>
      <c r="Q262" s="1"/>
      <c r="R262" s="1"/>
      <c r="S262" s="1"/>
      <c r="T262" s="1"/>
      <c r="U262" s="1"/>
      <c r="V262" s="1"/>
      <c r="W262" s="1"/>
      <c r="AB262"/>
      <c r="AC262"/>
      <c r="AD262"/>
      <c r="AE262"/>
      <c r="AF262"/>
      <c r="AG262"/>
      <c r="AH262"/>
      <c r="AI262"/>
    </row>
    <row r="263" spans="2:35" x14ac:dyDescent="0.35">
      <c r="B263" s="1"/>
      <c r="C263" s="1"/>
      <c r="D263" s="1"/>
      <c r="E263" s="1"/>
      <c r="F263" s="1"/>
      <c r="G263" s="1"/>
      <c r="H263" s="1"/>
      <c r="I263" s="1"/>
      <c r="Q263" s="1"/>
      <c r="R263" s="1"/>
      <c r="S263" s="1"/>
      <c r="T263" s="1"/>
      <c r="U263" s="1"/>
      <c r="V263" s="1"/>
      <c r="W263" s="1"/>
      <c r="AB263"/>
      <c r="AC263"/>
      <c r="AD263"/>
      <c r="AE263"/>
      <c r="AF263"/>
      <c r="AG263"/>
      <c r="AH263"/>
      <c r="AI263"/>
    </row>
    <row r="264" spans="2:35" x14ac:dyDescent="0.35">
      <c r="B264" s="1"/>
      <c r="C264" s="1"/>
      <c r="D264" s="1"/>
      <c r="E264" s="1"/>
      <c r="F264" s="1"/>
      <c r="G264" s="1"/>
      <c r="H264" s="1"/>
      <c r="I264" s="1"/>
      <c r="Q264" s="1"/>
      <c r="R264" s="1"/>
      <c r="S264" s="1"/>
      <c r="T264" s="1"/>
      <c r="U264" s="1"/>
      <c r="V264" s="1"/>
      <c r="W264" s="1"/>
      <c r="AB264"/>
      <c r="AC264"/>
      <c r="AD264"/>
      <c r="AE264"/>
      <c r="AF264"/>
      <c r="AG264"/>
      <c r="AH264"/>
      <c r="AI264"/>
    </row>
    <row r="265" spans="2:35" x14ac:dyDescent="0.35">
      <c r="B265" s="1"/>
      <c r="C265" s="1"/>
      <c r="D265" s="1"/>
      <c r="E265" s="1"/>
      <c r="F265" s="1"/>
      <c r="G265" s="1"/>
    </row>
  </sheetData>
  <mergeCells count="34">
    <mergeCell ref="C17:C18"/>
    <mergeCell ref="D17:E17"/>
    <mergeCell ref="F17:F18"/>
    <mergeCell ref="F67:G67"/>
    <mergeCell ref="C102:D102"/>
    <mergeCell ref="C100:D100"/>
    <mergeCell ref="H17:H18"/>
    <mergeCell ref="F66:G66"/>
    <mergeCell ref="G17:G18"/>
    <mergeCell ref="K17:K18"/>
    <mergeCell ref="I17:J17"/>
    <mergeCell ref="B49:B50"/>
    <mergeCell ref="H49:H50"/>
    <mergeCell ref="B51:B52"/>
    <mergeCell ref="H51:H52"/>
    <mergeCell ref="C136:D136"/>
    <mergeCell ref="C112:D112"/>
    <mergeCell ref="F69:G69"/>
    <mergeCell ref="F78:G78"/>
    <mergeCell ref="C101:D101"/>
    <mergeCell ref="C106:D106"/>
    <mergeCell ref="C107:D107"/>
    <mergeCell ref="C108:D108"/>
    <mergeCell ref="C103:D103"/>
    <mergeCell ref="C104:D104"/>
    <mergeCell ref="C105:D105"/>
    <mergeCell ref="C138:D138"/>
    <mergeCell ref="C109:D109"/>
    <mergeCell ref="C110:D110"/>
    <mergeCell ref="C111:D111"/>
    <mergeCell ref="C134:D134"/>
    <mergeCell ref="C135:D135"/>
    <mergeCell ref="C133:D133"/>
    <mergeCell ref="C137:D137"/>
  </mergeCells>
  <conditionalFormatting sqref="C184:L185 C182:L182">
    <cfRule type="cellIs" dxfId="0" priority="2" operator="lessThan">
      <formula>0</formula>
    </cfRule>
  </conditionalFormatting>
  <dataValidations count="1">
    <dataValidation type="list" allowBlank="1" showInputMessage="1" showErrorMessage="1" sqref="B5" xr:uid="{E0283082-40CB-48ED-BF30-A7F4ACC9DA49}">
      <formula1>$B$6:$B$7</formula1>
    </dataValidation>
  </dataValidations>
  <pageMargins left="0.75" right="0.75" top="1" bottom="1" header="0.5" footer="0.5"/>
  <pageSetup paperSize="9" orientation="portrait" horizontalDpi="4294967292" verticalDpi="4294967292"/>
  <ignoredErrors>
    <ignoredError sqref="F88" emptyCellReference="1"/>
    <ignoredError sqref="J51:L51" formula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3"/>
  <sheetViews>
    <sheetView workbookViewId="0">
      <selection activeCell="B19" sqref="B19"/>
    </sheetView>
  </sheetViews>
  <sheetFormatPr baseColWidth="10" defaultColWidth="11" defaultRowHeight="15.5" x14ac:dyDescent="0.35"/>
  <cols>
    <col min="1" max="5" width="26" customWidth="1"/>
    <col min="6" max="6" width="16.5" customWidth="1"/>
    <col min="7" max="7" width="26" hidden="1" customWidth="1"/>
    <col min="8" max="8" width="26" customWidth="1"/>
  </cols>
  <sheetData>
    <row r="1" spans="1:7" ht="21" x14ac:dyDescent="0.5">
      <c r="A1" s="7" t="s">
        <v>162</v>
      </c>
      <c r="B1" s="7"/>
    </row>
    <row r="2" spans="1:7" x14ac:dyDescent="0.35">
      <c r="A2" s="69" t="s">
        <v>163</v>
      </c>
      <c r="B2" s="70">
        <f>'Table rentabilité'!D167</f>
        <v>0.12</v>
      </c>
    </row>
    <row r="3" spans="1:7" x14ac:dyDescent="0.35">
      <c r="A3" s="69" t="s">
        <v>164</v>
      </c>
      <c r="B3" s="71">
        <f>'Table rentabilité'!D166</f>
        <v>8036474</v>
      </c>
    </row>
    <row r="4" spans="1:7" x14ac:dyDescent="0.35">
      <c r="A4" s="69" t="s">
        <v>165</v>
      </c>
      <c r="B4" s="69">
        <f>'Table rentabilité'!D168</f>
        <v>4</v>
      </c>
      <c r="C4">
        <f>B4*12</f>
        <v>48</v>
      </c>
    </row>
    <row r="5" spans="1:7" x14ac:dyDescent="0.35">
      <c r="A5" s="72" t="s">
        <v>166</v>
      </c>
      <c r="B5" s="73">
        <f>-PMT((1+B2)^(1/12)-1,B4*12,B3)</f>
        <v>209218.710701537</v>
      </c>
      <c r="C5" t="s">
        <v>167</v>
      </c>
      <c r="D5" s="74" t="s">
        <v>168</v>
      </c>
      <c r="E5" s="75"/>
    </row>
    <row r="6" spans="1:7" x14ac:dyDescent="0.35">
      <c r="D6" s="76"/>
    </row>
    <row r="7" spans="1:7" ht="21" x14ac:dyDescent="0.5">
      <c r="A7" s="7" t="s">
        <v>169</v>
      </c>
      <c r="B7" s="7"/>
      <c r="D7" s="76"/>
    </row>
    <row r="8" spans="1:7" x14ac:dyDescent="0.35">
      <c r="A8" s="69" t="s">
        <v>170</v>
      </c>
      <c r="B8" s="71">
        <f>-PPMT((1+B2)^(1/12)-1,1,B4*12,B3)</f>
        <v>132962.27299137664</v>
      </c>
      <c r="C8" t="s">
        <v>171</v>
      </c>
      <c r="D8" s="77" t="s">
        <v>172</v>
      </c>
      <c r="E8" s="78"/>
    </row>
    <row r="9" spans="1:7" x14ac:dyDescent="0.35">
      <c r="A9" s="69" t="s">
        <v>173</v>
      </c>
      <c r="B9" s="71">
        <f>-IPMT((1+B2)^(1/12)-1,1,B4*12,B3)</f>
        <v>76256.437710160346</v>
      </c>
      <c r="C9" t="s">
        <v>174</v>
      </c>
      <c r="D9" s="77" t="s">
        <v>175</v>
      </c>
      <c r="E9" s="78"/>
    </row>
    <row r="10" spans="1:7" x14ac:dyDescent="0.35">
      <c r="D10" s="76"/>
    </row>
    <row r="12" spans="1:7" ht="18.5" x14ac:dyDescent="0.45">
      <c r="A12" s="79" t="s">
        <v>176</v>
      </c>
      <c r="B12" s="80"/>
      <c r="C12" s="81"/>
    </row>
    <row r="13" spans="1:7" ht="18.5" x14ac:dyDescent="0.45">
      <c r="A13" s="82" t="s">
        <v>177</v>
      </c>
      <c r="B13" s="82" t="s">
        <v>178</v>
      </c>
      <c r="C13" s="82" t="s">
        <v>127</v>
      </c>
      <c r="D13" s="82" t="s">
        <v>128</v>
      </c>
      <c r="E13" s="82" t="s">
        <v>179</v>
      </c>
      <c r="F13" s="82" t="s">
        <v>180</v>
      </c>
    </row>
    <row r="14" spans="1:7" x14ac:dyDescent="0.35">
      <c r="A14">
        <f>IF(B4&lt;&gt;0,1,"-")</f>
        <v>1</v>
      </c>
      <c r="B14" s="83">
        <f>IF(A14&lt;&gt;"-",C14+D14,"")</f>
        <v>209218.71070153697</v>
      </c>
      <c r="C14" s="83">
        <f>IF(A14&lt;&gt;"-",-PPMT((1+$B$2)^(1/12)-1,A14,$B$4*12,$B$3),"")</f>
        <v>132962.27299137664</v>
      </c>
      <c r="D14" s="83">
        <f>IF(A14&lt;&gt;"-",-IPMT((1+$B$2)^(1/12)-1,A14,$B$4*12,$B$3),"")</f>
        <v>76256.437710160346</v>
      </c>
      <c r="E14" s="83">
        <f>IF(A14&lt;&gt;"-",$B$3+CUMPRINC((1+$B$2)^(1/12)-1,$B$4*12,$B$3,1,A14,0),"")</f>
        <v>7903511.7270086231</v>
      </c>
      <c r="F14">
        <f>IF(A14&lt;&gt;"-",1,"")</f>
        <v>1</v>
      </c>
      <c r="G14" s="84">
        <f>IF(A14&lt;&gt;"-",1,"")</f>
        <v>1</v>
      </c>
    </row>
    <row r="15" spans="1:7" x14ac:dyDescent="0.35">
      <c r="A15">
        <f>IF(AND($B$4&lt;&gt;0,A14&lt;$C$4),A14+1,"-")</f>
        <v>2</v>
      </c>
      <c r="B15" s="83">
        <f t="shared" ref="B15:B78" si="0">IF(A15&lt;&gt;"-",C15+D15,"")</f>
        <v>209218.710701537</v>
      </c>
      <c r="C15" s="83">
        <f t="shared" ref="C15:C78" si="1">IF(A15&lt;&gt;"-",-PPMT((1+$B$2)^(1/12)-1,A15,$B$4*12,$B$3),"")</f>
        <v>134223.92446790333</v>
      </c>
      <c r="D15" s="83">
        <f t="shared" ref="D15:D78" si="2">IF(A15&lt;&gt;"-",-IPMT((1+$B$2)^(1/12)-1,A15,$B$4*12,$B$3),"")</f>
        <v>74994.786233633669</v>
      </c>
      <c r="E15" s="83">
        <f t="shared" ref="E15:E78" si="3">IF(A15&lt;&gt;"-",$B$3+CUMPRINC((1+$B$2)^(1/12)-1,$B$4*12,$B$3,1,A15,0),"")</f>
        <v>7769287.8025407195</v>
      </c>
      <c r="F15">
        <f>IF(A15&lt;&gt;"-",IF(G14&lt;G15,F14,F14+1),"")</f>
        <v>1</v>
      </c>
      <c r="G15" s="83">
        <f>IF(A15="-","",IF(G14&lt;12,G14+1,1))</f>
        <v>2</v>
      </c>
    </row>
    <row r="16" spans="1:7" x14ac:dyDescent="0.35">
      <c r="A16">
        <f t="shared" ref="A16:A79" si="4">IF(AND($B$4&lt;&gt;0,A15&lt;$C$4),A15+1,"-")</f>
        <v>3</v>
      </c>
      <c r="B16" s="83">
        <f t="shared" si="0"/>
        <v>209218.71070153703</v>
      </c>
      <c r="C16" s="83">
        <f t="shared" si="1"/>
        <v>135497.54749404639</v>
      </c>
      <c r="D16" s="83">
        <f t="shared" si="2"/>
        <v>73721.163207490623</v>
      </c>
      <c r="E16" s="83">
        <f t="shared" si="3"/>
        <v>7633790.2550466741</v>
      </c>
      <c r="F16">
        <f t="shared" ref="F16:F79" si="5">IF(A16&lt;&gt;"-",IF(G15&lt;G16,F15,F15+1),"")</f>
        <v>1</v>
      </c>
      <c r="G16" s="83">
        <f t="shared" ref="G16:G79" si="6">IF(A16="-","",IF(G15&lt;12,G15+1,1))</f>
        <v>3</v>
      </c>
    </row>
    <row r="17" spans="1:7" x14ac:dyDescent="0.35">
      <c r="A17">
        <f t="shared" si="4"/>
        <v>4</v>
      </c>
      <c r="B17" s="83">
        <f t="shared" si="0"/>
        <v>209218.71070153697</v>
      </c>
      <c r="C17" s="83">
        <f t="shared" si="1"/>
        <v>136783.25566536121</v>
      </c>
      <c r="D17" s="83">
        <f t="shared" si="2"/>
        <v>72435.455036175772</v>
      </c>
      <c r="E17" s="83">
        <f t="shared" si="3"/>
        <v>7497006.9993813122</v>
      </c>
      <c r="F17">
        <f t="shared" si="5"/>
        <v>1</v>
      </c>
      <c r="G17" s="83">
        <f t="shared" si="6"/>
        <v>4</v>
      </c>
    </row>
    <row r="18" spans="1:7" x14ac:dyDescent="0.35">
      <c r="A18">
        <f t="shared" si="4"/>
        <v>5</v>
      </c>
      <c r="B18" s="83">
        <f t="shared" si="0"/>
        <v>209218.71070153697</v>
      </c>
      <c r="C18" s="83">
        <f t="shared" si="1"/>
        <v>138081.16365528796</v>
      </c>
      <c r="D18" s="83">
        <f t="shared" si="2"/>
        <v>71137.547046249019</v>
      </c>
      <c r="E18" s="83">
        <f t="shared" si="3"/>
        <v>7358925.8357260246</v>
      </c>
      <c r="F18">
        <f t="shared" si="5"/>
        <v>1</v>
      </c>
      <c r="G18" s="83">
        <f t="shared" si="6"/>
        <v>5</v>
      </c>
    </row>
    <row r="19" spans="1:7" x14ac:dyDescent="0.35">
      <c r="A19">
        <f t="shared" si="4"/>
        <v>6</v>
      </c>
      <c r="B19" s="83">
        <f t="shared" si="0"/>
        <v>209218.710701537</v>
      </c>
      <c r="C19" s="83">
        <f t="shared" si="1"/>
        <v>139391.38722537927</v>
      </c>
      <c r="D19" s="83">
        <f t="shared" si="2"/>
        <v>69827.323476157733</v>
      </c>
      <c r="E19" s="83">
        <f t="shared" si="3"/>
        <v>7219534.4485006453</v>
      </c>
      <c r="F19">
        <f t="shared" si="5"/>
        <v>1</v>
      </c>
      <c r="G19" s="83">
        <f t="shared" si="6"/>
        <v>6</v>
      </c>
    </row>
    <row r="20" spans="1:7" x14ac:dyDescent="0.35">
      <c r="A20">
        <f t="shared" si="4"/>
        <v>7</v>
      </c>
      <c r="B20" s="83">
        <f t="shared" si="0"/>
        <v>209218.71070153697</v>
      </c>
      <c r="C20" s="83">
        <f t="shared" si="1"/>
        <v>140714.04323562517</v>
      </c>
      <c r="D20" s="83">
        <f t="shared" si="2"/>
        <v>68504.667465911814</v>
      </c>
      <c r="E20" s="83">
        <f t="shared" si="3"/>
        <v>7078820.4052650202</v>
      </c>
      <c r="F20">
        <f t="shared" si="5"/>
        <v>1</v>
      </c>
      <c r="G20" s="83">
        <f t="shared" si="6"/>
        <v>7</v>
      </c>
    </row>
    <row r="21" spans="1:7" x14ac:dyDescent="0.35">
      <c r="A21">
        <f t="shared" si="4"/>
        <v>8</v>
      </c>
      <c r="B21" s="83">
        <f t="shared" si="0"/>
        <v>209218.71070153703</v>
      </c>
      <c r="C21" s="83">
        <f t="shared" si="1"/>
        <v>142049.24965487601</v>
      </c>
      <c r="D21" s="83">
        <f t="shared" si="2"/>
        <v>67169.461046661017</v>
      </c>
      <c r="E21" s="83">
        <f t="shared" si="3"/>
        <v>6936771.1556101441</v>
      </c>
      <c r="F21">
        <f t="shared" si="5"/>
        <v>1</v>
      </c>
      <c r="G21" s="83">
        <f t="shared" si="6"/>
        <v>8</v>
      </c>
    </row>
    <row r="22" spans="1:7" x14ac:dyDescent="0.35">
      <c r="A22">
        <f t="shared" si="4"/>
        <v>9</v>
      </c>
      <c r="B22" s="83">
        <f t="shared" si="0"/>
        <v>209218.71070153697</v>
      </c>
      <c r="C22" s="83">
        <f t="shared" si="1"/>
        <v>143397.12557136398</v>
      </c>
      <c r="D22" s="83">
        <f t="shared" si="2"/>
        <v>65821.585130173</v>
      </c>
      <c r="E22" s="83">
        <f t="shared" si="3"/>
        <v>6793374.0300387796</v>
      </c>
      <c r="F22">
        <f t="shared" si="5"/>
        <v>1</v>
      </c>
      <c r="G22" s="83">
        <f t="shared" si="6"/>
        <v>9</v>
      </c>
    </row>
    <row r="23" spans="1:7" x14ac:dyDescent="0.35">
      <c r="A23">
        <f t="shared" si="4"/>
        <v>10</v>
      </c>
      <c r="B23" s="83">
        <f t="shared" si="0"/>
        <v>209218.71070153703</v>
      </c>
      <c r="C23" s="83">
        <f t="shared" si="1"/>
        <v>144757.79120332509</v>
      </c>
      <c r="D23" s="83">
        <f t="shared" si="2"/>
        <v>64460.919498211922</v>
      </c>
      <c r="E23" s="83">
        <f t="shared" si="3"/>
        <v>6648616.238835454</v>
      </c>
      <c r="F23">
        <f t="shared" si="5"/>
        <v>1</v>
      </c>
      <c r="G23" s="83">
        <f t="shared" si="6"/>
        <v>10</v>
      </c>
    </row>
    <row r="24" spans="1:7" x14ac:dyDescent="0.35">
      <c r="A24">
        <f t="shared" si="4"/>
        <v>11</v>
      </c>
      <c r="B24" s="83">
        <f t="shared" si="0"/>
        <v>209218.71070153697</v>
      </c>
      <c r="C24" s="83">
        <f t="shared" si="1"/>
        <v>146131.36790972101</v>
      </c>
      <c r="D24" s="83">
        <f t="shared" si="2"/>
        <v>63087.342791815958</v>
      </c>
      <c r="E24" s="83">
        <f t="shared" si="3"/>
        <v>6502484.8709257338</v>
      </c>
      <c r="F24">
        <f t="shared" si="5"/>
        <v>1</v>
      </c>
      <c r="G24" s="83">
        <f t="shared" si="6"/>
        <v>11</v>
      </c>
    </row>
    <row r="25" spans="1:7" x14ac:dyDescent="0.35">
      <c r="A25">
        <f t="shared" si="4"/>
        <v>12</v>
      </c>
      <c r="B25" s="83">
        <f t="shared" si="0"/>
        <v>209218.710701537</v>
      </c>
      <c r="C25" s="83">
        <f t="shared" si="1"/>
        <v>147517.97820106376</v>
      </c>
      <c r="D25" s="83">
        <f t="shared" si="2"/>
        <v>61700.732500473248</v>
      </c>
      <c r="E25" s="83">
        <f t="shared" si="3"/>
        <v>6354966.8927246695</v>
      </c>
      <c r="F25">
        <f t="shared" si="5"/>
        <v>1</v>
      </c>
      <c r="G25" s="83">
        <f t="shared" si="6"/>
        <v>12</v>
      </c>
    </row>
    <row r="26" spans="1:7" x14ac:dyDescent="0.35">
      <c r="A26">
        <f t="shared" si="4"/>
        <v>13</v>
      </c>
      <c r="B26" s="83">
        <f t="shared" si="0"/>
        <v>209218.710701537</v>
      </c>
      <c r="C26" s="83">
        <f t="shared" si="1"/>
        <v>148917.74575034197</v>
      </c>
      <c r="D26" s="83">
        <f t="shared" si="2"/>
        <v>60300.964951195019</v>
      </c>
      <c r="E26" s="83">
        <f t="shared" si="3"/>
        <v>6206049.146974328</v>
      </c>
      <c r="F26">
        <f t="shared" si="5"/>
        <v>2</v>
      </c>
      <c r="G26" s="83">
        <f t="shared" si="6"/>
        <v>1</v>
      </c>
    </row>
    <row r="27" spans="1:7" x14ac:dyDescent="0.35">
      <c r="A27">
        <f t="shared" si="4"/>
        <v>14</v>
      </c>
      <c r="B27" s="83">
        <f t="shared" si="0"/>
        <v>209218.71070153697</v>
      </c>
      <c r="C27" s="83">
        <f t="shared" si="1"/>
        <v>150330.79540405184</v>
      </c>
      <c r="D27" s="83">
        <f t="shared" si="2"/>
        <v>58887.915297485139</v>
      </c>
      <c r="E27" s="83">
        <f t="shared" si="3"/>
        <v>6055718.3515702765</v>
      </c>
      <c r="F27">
        <f t="shared" si="5"/>
        <v>2</v>
      </c>
      <c r="G27" s="83">
        <f t="shared" si="6"/>
        <v>2</v>
      </c>
    </row>
    <row r="28" spans="1:7" x14ac:dyDescent="0.35">
      <c r="A28">
        <f t="shared" si="4"/>
        <v>15</v>
      </c>
      <c r="B28" s="83">
        <f t="shared" si="0"/>
        <v>209218.710701537</v>
      </c>
      <c r="C28" s="83">
        <f t="shared" si="1"/>
        <v>151757.25319333209</v>
      </c>
      <c r="D28" s="83">
        <f t="shared" si="2"/>
        <v>57461.45750820492</v>
      </c>
      <c r="E28" s="83">
        <f t="shared" si="3"/>
        <v>5903961.0983769437</v>
      </c>
      <c r="F28">
        <f t="shared" si="5"/>
        <v>2</v>
      </c>
      <c r="G28" s="83">
        <f t="shared" si="6"/>
        <v>3</v>
      </c>
    </row>
    <row r="29" spans="1:7" x14ac:dyDescent="0.35">
      <c r="A29">
        <f t="shared" si="4"/>
        <v>16</v>
      </c>
      <c r="B29" s="83">
        <f t="shared" si="0"/>
        <v>209218.71070153703</v>
      </c>
      <c r="C29" s="83">
        <f t="shared" si="1"/>
        <v>153197.24634520471</v>
      </c>
      <c r="D29" s="83">
        <f t="shared" si="2"/>
        <v>56021.464356332304</v>
      </c>
      <c r="E29" s="83">
        <f t="shared" si="3"/>
        <v>5750763.8520317394</v>
      </c>
      <c r="F29">
        <f t="shared" si="5"/>
        <v>2</v>
      </c>
      <c r="G29" s="83">
        <f t="shared" si="6"/>
        <v>4</v>
      </c>
    </row>
    <row r="30" spans="1:7" x14ac:dyDescent="0.35">
      <c r="A30">
        <f t="shared" si="4"/>
        <v>17</v>
      </c>
      <c r="B30" s="83">
        <f t="shared" si="0"/>
        <v>209218.710701537</v>
      </c>
      <c r="C30" s="83">
        <f t="shared" si="1"/>
        <v>154650.90329392266</v>
      </c>
      <c r="D30" s="83">
        <f t="shared" si="2"/>
        <v>54567.807407614346</v>
      </c>
      <c r="E30" s="83">
        <f t="shared" si="3"/>
        <v>5596112.9487378169</v>
      </c>
      <c r="F30">
        <f t="shared" si="5"/>
        <v>2</v>
      </c>
      <c r="G30" s="83">
        <f t="shared" si="6"/>
        <v>5</v>
      </c>
    </row>
    <row r="31" spans="1:7" x14ac:dyDescent="0.35">
      <c r="A31">
        <f t="shared" si="4"/>
        <v>18</v>
      </c>
      <c r="B31" s="83">
        <f t="shared" si="0"/>
        <v>209218.71070153703</v>
      </c>
      <c r="C31" s="83">
        <f t="shared" si="1"/>
        <v>156118.35369242492</v>
      </c>
      <c r="D31" s="83">
        <f t="shared" si="2"/>
        <v>53100.357009112093</v>
      </c>
      <c r="E31" s="83">
        <f t="shared" si="3"/>
        <v>5439994.5950453915</v>
      </c>
      <c r="F31">
        <f t="shared" si="5"/>
        <v>2</v>
      </c>
      <c r="G31" s="83">
        <f t="shared" si="6"/>
        <v>6</v>
      </c>
    </row>
    <row r="32" spans="1:7" x14ac:dyDescent="0.35">
      <c r="A32">
        <f t="shared" si="4"/>
        <v>19</v>
      </c>
      <c r="B32" s="83">
        <f t="shared" si="0"/>
        <v>209218.710701537</v>
      </c>
      <c r="C32" s="83">
        <f t="shared" si="1"/>
        <v>157599.72842390032</v>
      </c>
      <c r="D32" s="83">
        <f t="shared" si="2"/>
        <v>51618.982277636671</v>
      </c>
      <c r="E32" s="83">
        <f t="shared" si="3"/>
        <v>5282394.8666214924</v>
      </c>
      <c r="F32">
        <f t="shared" si="5"/>
        <v>2</v>
      </c>
      <c r="G32" s="83">
        <f t="shared" si="6"/>
        <v>7</v>
      </c>
    </row>
    <row r="33" spans="1:7" x14ac:dyDescent="0.35">
      <c r="A33">
        <f t="shared" si="4"/>
        <v>20</v>
      </c>
      <c r="B33" s="83">
        <f t="shared" si="0"/>
        <v>209218.71070153697</v>
      </c>
      <c r="C33" s="83">
        <f t="shared" si="1"/>
        <v>159095.15961346123</v>
      </c>
      <c r="D33" s="83">
        <f t="shared" si="2"/>
        <v>50123.55108807575</v>
      </c>
      <c r="E33" s="83">
        <f t="shared" si="3"/>
        <v>5123299.7070080303</v>
      </c>
      <c r="F33">
        <f t="shared" si="5"/>
        <v>2</v>
      </c>
      <c r="G33" s="83">
        <f t="shared" si="6"/>
        <v>8</v>
      </c>
    </row>
    <row r="34" spans="1:7" x14ac:dyDescent="0.35">
      <c r="A34">
        <f t="shared" si="4"/>
        <v>21</v>
      </c>
      <c r="B34" s="83">
        <f t="shared" si="0"/>
        <v>209218.71070153697</v>
      </c>
      <c r="C34" s="83">
        <f t="shared" si="1"/>
        <v>160604.78063992781</v>
      </c>
      <c r="D34" s="83">
        <f t="shared" si="2"/>
        <v>48613.930061609179</v>
      </c>
      <c r="E34" s="83">
        <f t="shared" si="3"/>
        <v>4962694.9263681024</v>
      </c>
      <c r="F34">
        <f t="shared" si="5"/>
        <v>2</v>
      </c>
      <c r="G34" s="83">
        <f t="shared" si="6"/>
        <v>9</v>
      </c>
    </row>
    <row r="35" spans="1:7" x14ac:dyDescent="0.35">
      <c r="A35">
        <f t="shared" si="4"/>
        <v>22</v>
      </c>
      <c r="B35" s="83">
        <f t="shared" si="0"/>
        <v>209218.710701537</v>
      </c>
      <c r="C35" s="83">
        <f t="shared" si="1"/>
        <v>162128.72614772423</v>
      </c>
      <c r="D35" s="83">
        <f t="shared" si="2"/>
        <v>47089.984553812777</v>
      </c>
      <c r="E35" s="83">
        <f t="shared" si="3"/>
        <v>4800566.2002203781</v>
      </c>
      <c r="F35">
        <f t="shared" si="5"/>
        <v>2</v>
      </c>
      <c r="G35" s="83">
        <f t="shared" si="6"/>
        <v>10</v>
      </c>
    </row>
    <row r="36" spans="1:7" x14ac:dyDescent="0.35">
      <c r="A36">
        <f t="shared" si="4"/>
        <v>23</v>
      </c>
      <c r="B36" s="83">
        <f t="shared" si="0"/>
        <v>209218.71070153703</v>
      </c>
      <c r="C36" s="83">
        <f t="shared" si="1"/>
        <v>163667.13205888771</v>
      </c>
      <c r="D36" s="83">
        <f t="shared" si="2"/>
        <v>45551.5786426493</v>
      </c>
      <c r="E36" s="83">
        <f t="shared" si="3"/>
        <v>4636899.0681614904</v>
      </c>
      <c r="F36">
        <f t="shared" si="5"/>
        <v>2</v>
      </c>
      <c r="G36" s="83">
        <f t="shared" si="6"/>
        <v>11</v>
      </c>
    </row>
    <row r="37" spans="1:7" x14ac:dyDescent="0.35">
      <c r="A37">
        <f t="shared" si="4"/>
        <v>24</v>
      </c>
      <c r="B37" s="83">
        <f t="shared" si="0"/>
        <v>209218.71070153703</v>
      </c>
      <c r="C37" s="83">
        <f t="shared" si="1"/>
        <v>165220.13558519157</v>
      </c>
      <c r="D37" s="83">
        <f t="shared" si="2"/>
        <v>43998.575116345448</v>
      </c>
      <c r="E37" s="83">
        <f t="shared" si="3"/>
        <v>4471678.9325762987</v>
      </c>
      <c r="F37">
        <f t="shared" si="5"/>
        <v>2</v>
      </c>
      <c r="G37" s="83">
        <f t="shared" si="6"/>
        <v>12</v>
      </c>
    </row>
    <row r="38" spans="1:7" x14ac:dyDescent="0.35">
      <c r="A38">
        <f t="shared" si="4"/>
        <v>25</v>
      </c>
      <c r="B38" s="83">
        <f t="shared" si="0"/>
        <v>209218.71070153697</v>
      </c>
      <c r="C38" s="83">
        <f t="shared" si="1"/>
        <v>166787.87524038315</v>
      </c>
      <c r="D38" s="83">
        <f t="shared" si="2"/>
        <v>42430.835461153831</v>
      </c>
      <c r="E38" s="83">
        <f t="shared" si="3"/>
        <v>4304891.057335916</v>
      </c>
      <c r="F38">
        <f t="shared" si="5"/>
        <v>3</v>
      </c>
      <c r="G38" s="83">
        <f t="shared" si="6"/>
        <v>1</v>
      </c>
    </row>
    <row r="39" spans="1:7" x14ac:dyDescent="0.35">
      <c r="A39">
        <f t="shared" si="4"/>
        <v>26</v>
      </c>
      <c r="B39" s="83">
        <f t="shared" si="0"/>
        <v>209218.71070153697</v>
      </c>
      <c r="C39" s="83">
        <f t="shared" si="1"/>
        <v>168370.49085253821</v>
      </c>
      <c r="D39" s="83">
        <f t="shared" si="2"/>
        <v>40848.219848998771</v>
      </c>
      <c r="E39" s="83">
        <f t="shared" si="3"/>
        <v>4136520.5664833775</v>
      </c>
      <c r="F39">
        <f t="shared" si="5"/>
        <v>3</v>
      </c>
      <c r="G39" s="83">
        <f t="shared" si="6"/>
        <v>2</v>
      </c>
    </row>
    <row r="40" spans="1:7" x14ac:dyDescent="0.35">
      <c r="A40">
        <f t="shared" si="4"/>
        <v>27</v>
      </c>
      <c r="B40" s="83">
        <f t="shared" si="0"/>
        <v>209218.71070153697</v>
      </c>
      <c r="C40" s="83">
        <f t="shared" si="1"/>
        <v>169968.12357653206</v>
      </c>
      <c r="D40" s="83">
        <f t="shared" si="2"/>
        <v>39250.587125004924</v>
      </c>
      <c r="E40" s="83">
        <f t="shared" si="3"/>
        <v>3966552.4429068444</v>
      </c>
      <c r="F40">
        <f t="shared" si="5"/>
        <v>3</v>
      </c>
      <c r="G40" s="83">
        <f t="shared" si="6"/>
        <v>3</v>
      </c>
    </row>
    <row r="41" spans="1:7" x14ac:dyDescent="0.35">
      <c r="A41">
        <f t="shared" si="4"/>
        <v>28</v>
      </c>
      <c r="B41" s="83">
        <f t="shared" si="0"/>
        <v>209218.710701537</v>
      </c>
      <c r="C41" s="83">
        <f t="shared" si="1"/>
        <v>171580.91590662941</v>
      </c>
      <c r="D41" s="83">
        <f t="shared" si="2"/>
        <v>37637.794794907597</v>
      </c>
      <c r="E41" s="83">
        <f t="shared" si="3"/>
        <v>3794971.5270002158</v>
      </c>
      <c r="F41">
        <f t="shared" si="5"/>
        <v>3</v>
      </c>
      <c r="G41" s="83">
        <f t="shared" si="6"/>
        <v>4</v>
      </c>
    </row>
    <row r="42" spans="1:7" x14ac:dyDescent="0.35">
      <c r="A42">
        <f t="shared" si="4"/>
        <v>29</v>
      </c>
      <c r="B42" s="83">
        <f t="shared" si="0"/>
        <v>209218.710701537</v>
      </c>
      <c r="C42" s="83">
        <f t="shared" si="1"/>
        <v>173209.01168919352</v>
      </c>
      <c r="D42" s="83">
        <f t="shared" si="2"/>
        <v>36009.699012343473</v>
      </c>
      <c r="E42" s="83">
        <f t="shared" si="3"/>
        <v>3621762.5153110223</v>
      </c>
      <c r="F42">
        <f t="shared" si="5"/>
        <v>3</v>
      </c>
      <c r="G42" s="83">
        <f t="shared" si="6"/>
        <v>5</v>
      </c>
    </row>
    <row r="43" spans="1:7" x14ac:dyDescent="0.35">
      <c r="A43">
        <f t="shared" si="4"/>
        <v>30</v>
      </c>
      <c r="B43" s="83">
        <f t="shared" si="0"/>
        <v>209218.710701537</v>
      </c>
      <c r="C43" s="83">
        <f t="shared" si="1"/>
        <v>174852.55613551606</v>
      </c>
      <c r="D43" s="83">
        <f t="shared" si="2"/>
        <v>34366.154566020945</v>
      </c>
      <c r="E43" s="83">
        <f t="shared" si="3"/>
        <v>3446909.9591755057</v>
      </c>
      <c r="F43">
        <f t="shared" si="5"/>
        <v>3</v>
      </c>
      <c r="G43" s="83">
        <f t="shared" si="6"/>
        <v>6</v>
      </c>
    </row>
    <row r="44" spans="1:7" x14ac:dyDescent="0.35">
      <c r="A44">
        <f t="shared" si="4"/>
        <v>31</v>
      </c>
      <c r="B44" s="83">
        <f t="shared" si="0"/>
        <v>209218.710701537</v>
      </c>
      <c r="C44" s="83">
        <f t="shared" si="1"/>
        <v>176511.69583476853</v>
      </c>
      <c r="D44" s="83">
        <f t="shared" si="2"/>
        <v>32707.014866768477</v>
      </c>
      <c r="E44" s="83">
        <f t="shared" si="3"/>
        <v>3270398.2633407367</v>
      </c>
      <c r="F44">
        <f t="shared" si="5"/>
        <v>3</v>
      </c>
      <c r="G44" s="83">
        <f t="shared" si="6"/>
        <v>7</v>
      </c>
    </row>
    <row r="45" spans="1:7" x14ac:dyDescent="0.35">
      <c r="A45">
        <f t="shared" si="4"/>
        <v>32</v>
      </c>
      <c r="B45" s="83">
        <f t="shared" si="0"/>
        <v>209218.710701537</v>
      </c>
      <c r="C45" s="83">
        <f t="shared" si="1"/>
        <v>178186.57876707675</v>
      </c>
      <c r="D45" s="83">
        <f t="shared" si="2"/>
        <v>31032.131934460249</v>
      </c>
      <c r="E45" s="83">
        <f t="shared" si="3"/>
        <v>3092211.6845736597</v>
      </c>
      <c r="F45">
        <f t="shared" si="5"/>
        <v>3</v>
      </c>
      <c r="G45" s="83">
        <f t="shared" si="6"/>
        <v>8</v>
      </c>
    </row>
    <row r="46" spans="1:7" x14ac:dyDescent="0.35">
      <c r="A46">
        <f t="shared" si="4"/>
        <v>33</v>
      </c>
      <c r="B46" s="83">
        <f t="shared" si="0"/>
        <v>209218.71070153703</v>
      </c>
      <c r="C46" s="83">
        <f t="shared" si="1"/>
        <v>179877.35431671934</v>
      </c>
      <c r="D46" s="83">
        <f t="shared" si="2"/>
        <v>29341.356384817689</v>
      </c>
      <c r="E46" s="83">
        <f t="shared" si="3"/>
        <v>2912334.3302569417</v>
      </c>
      <c r="F46">
        <f t="shared" si="5"/>
        <v>3</v>
      </c>
      <c r="G46" s="83">
        <f t="shared" si="6"/>
        <v>9</v>
      </c>
    </row>
    <row r="47" spans="1:7" x14ac:dyDescent="0.35">
      <c r="A47">
        <f t="shared" si="4"/>
        <v>34</v>
      </c>
      <c r="B47" s="83">
        <f t="shared" si="0"/>
        <v>209218.71070153703</v>
      </c>
      <c r="C47" s="83">
        <f t="shared" si="1"/>
        <v>181584.17328545131</v>
      </c>
      <c r="D47" s="83">
        <f t="shared" si="2"/>
        <v>27634.537416085714</v>
      </c>
      <c r="E47" s="83">
        <f t="shared" si="3"/>
        <v>2730750.1569714909</v>
      </c>
      <c r="F47">
        <f t="shared" si="5"/>
        <v>3</v>
      </c>
      <c r="G47" s="83">
        <f t="shared" si="6"/>
        <v>10</v>
      </c>
    </row>
    <row r="48" spans="1:7" x14ac:dyDescent="0.35">
      <c r="A48">
        <f t="shared" si="4"/>
        <v>35</v>
      </c>
      <c r="B48" s="83">
        <f t="shared" si="0"/>
        <v>209218.71070153703</v>
      </c>
      <c r="C48" s="83">
        <f t="shared" si="1"/>
        <v>183307.1879059544</v>
      </c>
      <c r="D48" s="83">
        <f t="shared" si="2"/>
        <v>25911.522795582612</v>
      </c>
      <c r="E48" s="83">
        <f t="shared" si="3"/>
        <v>2547442.9690655349</v>
      </c>
      <c r="F48">
        <f t="shared" si="5"/>
        <v>3</v>
      </c>
      <c r="G48" s="83">
        <f t="shared" si="6"/>
        <v>11</v>
      </c>
    </row>
    <row r="49" spans="1:7" x14ac:dyDescent="0.35">
      <c r="A49">
        <f t="shared" si="4"/>
        <v>36</v>
      </c>
      <c r="B49" s="83">
        <f t="shared" si="0"/>
        <v>209218.710701537</v>
      </c>
      <c r="C49" s="83">
        <f t="shared" si="1"/>
        <v>185046.5518554147</v>
      </c>
      <c r="D49" s="83">
        <f t="shared" si="2"/>
        <v>24172.158846122311</v>
      </c>
      <c r="E49" s="83">
        <f t="shared" si="3"/>
        <v>2362396.4172101207</v>
      </c>
      <c r="F49">
        <f t="shared" si="5"/>
        <v>3</v>
      </c>
      <c r="G49" s="83">
        <f t="shared" si="6"/>
        <v>12</v>
      </c>
    </row>
    <row r="50" spans="1:7" x14ac:dyDescent="0.35">
      <c r="A50">
        <f t="shared" si="4"/>
        <v>37</v>
      </c>
      <c r="B50" s="83">
        <f t="shared" si="0"/>
        <v>209218.710701537</v>
      </c>
      <c r="C50" s="83">
        <f t="shared" si="1"/>
        <v>186802.4202692293</v>
      </c>
      <c r="D50" s="83">
        <f t="shared" si="2"/>
        <v>22416.290432307698</v>
      </c>
      <c r="E50" s="83">
        <f t="shared" si="3"/>
        <v>2175593.9969408913</v>
      </c>
      <c r="F50">
        <f t="shared" si="5"/>
        <v>4</v>
      </c>
      <c r="G50" s="83">
        <f t="shared" si="6"/>
        <v>1</v>
      </c>
    </row>
    <row r="51" spans="1:7" x14ac:dyDescent="0.35">
      <c r="A51">
        <f t="shared" si="4"/>
        <v>38</v>
      </c>
      <c r="B51" s="83">
        <f t="shared" si="0"/>
        <v>209218.710701537</v>
      </c>
      <c r="C51" s="83">
        <f t="shared" si="1"/>
        <v>188574.94975484296</v>
      </c>
      <c r="D51" s="83">
        <f t="shared" si="2"/>
        <v>20643.760946694023</v>
      </c>
      <c r="E51" s="83">
        <f t="shared" si="3"/>
        <v>1987019.0471860506</v>
      </c>
      <c r="F51">
        <f t="shared" si="5"/>
        <v>4</v>
      </c>
      <c r="G51" s="83">
        <f t="shared" si="6"/>
        <v>2</v>
      </c>
    </row>
    <row r="52" spans="1:7" x14ac:dyDescent="0.35">
      <c r="A52">
        <f t="shared" si="4"/>
        <v>39</v>
      </c>
      <c r="B52" s="83">
        <f t="shared" si="0"/>
        <v>209218.71070153703</v>
      </c>
      <c r="C52" s="83">
        <f t="shared" si="1"/>
        <v>190364.29840571611</v>
      </c>
      <c r="D52" s="83">
        <f t="shared" si="2"/>
        <v>18854.412295820915</v>
      </c>
      <c r="E52" s="83">
        <f t="shared" si="3"/>
        <v>1796654.7487803334</v>
      </c>
      <c r="F52">
        <f t="shared" si="5"/>
        <v>4</v>
      </c>
      <c r="G52" s="83">
        <f t="shared" si="6"/>
        <v>3</v>
      </c>
    </row>
    <row r="53" spans="1:7" x14ac:dyDescent="0.35">
      <c r="A53">
        <f t="shared" si="4"/>
        <v>40</v>
      </c>
      <c r="B53" s="83">
        <f t="shared" si="0"/>
        <v>209218.710701537</v>
      </c>
      <c r="C53" s="83">
        <f t="shared" si="1"/>
        <v>192170.6258154251</v>
      </c>
      <c r="D53" s="83">
        <f t="shared" si="2"/>
        <v>17048.084886111898</v>
      </c>
      <c r="E53" s="83">
        <f t="shared" si="3"/>
        <v>1604484.1229649074</v>
      </c>
      <c r="F53">
        <f t="shared" si="5"/>
        <v>4</v>
      </c>
      <c r="G53" s="83">
        <f t="shared" si="6"/>
        <v>4</v>
      </c>
    </row>
    <row r="54" spans="1:7" x14ac:dyDescent="0.35">
      <c r="A54">
        <f t="shared" si="4"/>
        <v>41</v>
      </c>
      <c r="B54" s="83">
        <f t="shared" si="0"/>
        <v>209218.710701537</v>
      </c>
      <c r="C54" s="83">
        <f t="shared" si="1"/>
        <v>193994.09309189691</v>
      </c>
      <c r="D54" s="83">
        <f t="shared" si="2"/>
        <v>15224.617609640089</v>
      </c>
      <c r="E54" s="83">
        <f t="shared" si="3"/>
        <v>1410490.0298730098</v>
      </c>
      <c r="F54">
        <f t="shared" si="5"/>
        <v>4</v>
      </c>
      <c r="G54" s="83">
        <f t="shared" si="6"/>
        <v>5</v>
      </c>
    </row>
    <row r="55" spans="1:7" x14ac:dyDescent="0.35">
      <c r="A55">
        <f t="shared" si="4"/>
        <v>42</v>
      </c>
      <c r="B55" s="83">
        <f t="shared" si="0"/>
        <v>209218.710701537</v>
      </c>
      <c r="C55" s="83">
        <f t="shared" si="1"/>
        <v>195834.86287177814</v>
      </c>
      <c r="D55" s="83">
        <f t="shared" si="2"/>
        <v>13383.847829758848</v>
      </c>
      <c r="E55" s="83">
        <f t="shared" si="3"/>
        <v>1214655.1670012334</v>
      </c>
      <c r="F55">
        <f t="shared" si="5"/>
        <v>4</v>
      </c>
      <c r="G55" s="83">
        <f t="shared" si="6"/>
        <v>6</v>
      </c>
    </row>
    <row r="56" spans="1:7" x14ac:dyDescent="0.35">
      <c r="A56">
        <f t="shared" si="4"/>
        <v>43</v>
      </c>
      <c r="B56" s="83">
        <f t="shared" si="0"/>
        <v>209218.710701537</v>
      </c>
      <c r="C56" s="83">
        <f t="shared" si="1"/>
        <v>197693.09933494093</v>
      </c>
      <c r="D56" s="83">
        <f t="shared" si="2"/>
        <v>11525.611366596082</v>
      </c>
      <c r="E56" s="83">
        <f t="shared" si="3"/>
        <v>1016962.0676662903</v>
      </c>
      <c r="F56">
        <f t="shared" si="5"/>
        <v>4</v>
      </c>
      <c r="G56" s="83">
        <f t="shared" si="6"/>
        <v>7</v>
      </c>
    </row>
    <row r="57" spans="1:7" x14ac:dyDescent="0.35">
      <c r="A57">
        <f t="shared" si="4"/>
        <v>44</v>
      </c>
      <c r="B57" s="83">
        <f t="shared" si="0"/>
        <v>209218.71070153697</v>
      </c>
      <c r="C57" s="83">
        <f t="shared" si="1"/>
        <v>199568.96821912611</v>
      </c>
      <c r="D57" s="83">
        <f t="shared" si="2"/>
        <v>9649.7424824108712</v>
      </c>
      <c r="E57" s="83">
        <f t="shared" si="3"/>
        <v>817393.09944716748</v>
      </c>
      <c r="F57">
        <f t="shared" si="5"/>
        <v>4</v>
      </c>
      <c r="G57" s="83">
        <f t="shared" si="6"/>
        <v>8</v>
      </c>
    </row>
    <row r="58" spans="1:7" x14ac:dyDescent="0.35">
      <c r="A58">
        <f t="shared" si="4"/>
        <v>45</v>
      </c>
      <c r="B58" s="83">
        <f t="shared" si="0"/>
        <v>209218.710701537</v>
      </c>
      <c r="C58" s="83">
        <f t="shared" si="1"/>
        <v>201462.6368347258</v>
      </c>
      <c r="D58" s="83">
        <f t="shared" si="2"/>
        <v>7756.0738668111971</v>
      </c>
      <c r="E58" s="83">
        <f t="shared" si="3"/>
        <v>615930.46261243988</v>
      </c>
      <c r="F58">
        <f t="shared" si="5"/>
        <v>4</v>
      </c>
      <c r="G58" s="83">
        <f t="shared" si="6"/>
        <v>9</v>
      </c>
    </row>
    <row r="59" spans="1:7" x14ac:dyDescent="0.35">
      <c r="A59">
        <f t="shared" si="4"/>
        <v>46</v>
      </c>
      <c r="B59" s="83">
        <f t="shared" si="0"/>
        <v>209218.710701537</v>
      </c>
      <c r="C59" s="83">
        <f t="shared" si="1"/>
        <v>203374.27407970562</v>
      </c>
      <c r="D59" s="83">
        <f t="shared" si="2"/>
        <v>5844.4366218313808</v>
      </c>
      <c r="E59" s="83">
        <f t="shared" si="3"/>
        <v>412556.18853273429</v>
      </c>
      <c r="F59">
        <f t="shared" si="5"/>
        <v>4</v>
      </c>
      <c r="G59" s="83">
        <f t="shared" si="6"/>
        <v>10</v>
      </c>
    </row>
    <row r="60" spans="1:7" x14ac:dyDescent="0.35">
      <c r="A60">
        <f t="shared" si="4"/>
        <v>47</v>
      </c>
      <c r="B60" s="83">
        <f t="shared" si="0"/>
        <v>209218.71070153703</v>
      </c>
      <c r="C60" s="83">
        <f t="shared" si="1"/>
        <v>205304.05045466911</v>
      </c>
      <c r="D60" s="83">
        <f t="shared" si="2"/>
        <v>3914.6602468679152</v>
      </c>
      <c r="E60" s="83">
        <f t="shared" si="3"/>
        <v>207252.13807806466</v>
      </c>
      <c r="F60">
        <f t="shared" si="5"/>
        <v>4</v>
      </c>
      <c r="G60" s="83">
        <f t="shared" si="6"/>
        <v>11</v>
      </c>
    </row>
    <row r="61" spans="1:7" x14ac:dyDescent="0.35">
      <c r="A61">
        <f t="shared" si="4"/>
        <v>48</v>
      </c>
      <c r="B61" s="83">
        <f t="shared" si="0"/>
        <v>209218.710701537</v>
      </c>
      <c r="C61" s="83">
        <f t="shared" si="1"/>
        <v>207252.13807806463</v>
      </c>
      <c r="D61" s="83">
        <f t="shared" si="2"/>
        <v>1966.5726234723695</v>
      </c>
      <c r="E61" s="83">
        <f t="shared" si="3"/>
        <v>0</v>
      </c>
      <c r="F61">
        <f t="shared" si="5"/>
        <v>4</v>
      </c>
      <c r="G61" s="83">
        <f t="shared" si="6"/>
        <v>12</v>
      </c>
    </row>
    <row r="62" spans="1:7" x14ac:dyDescent="0.35">
      <c r="A62" t="str">
        <f t="shared" si="4"/>
        <v>-</v>
      </c>
      <c r="B62" s="83" t="str">
        <f t="shared" si="0"/>
        <v/>
      </c>
      <c r="C62" s="83" t="str">
        <f t="shared" si="1"/>
        <v/>
      </c>
      <c r="D62" s="83" t="str">
        <f t="shared" si="2"/>
        <v/>
      </c>
      <c r="E62" s="83" t="str">
        <f t="shared" si="3"/>
        <v/>
      </c>
      <c r="F62" t="str">
        <f t="shared" si="5"/>
        <v/>
      </c>
      <c r="G62" s="83" t="str">
        <f t="shared" si="6"/>
        <v/>
      </c>
    </row>
    <row r="63" spans="1:7" x14ac:dyDescent="0.35">
      <c r="A63" t="str">
        <f t="shared" si="4"/>
        <v>-</v>
      </c>
      <c r="B63" s="83" t="str">
        <f t="shared" si="0"/>
        <v/>
      </c>
      <c r="C63" s="83" t="str">
        <f t="shared" si="1"/>
        <v/>
      </c>
      <c r="D63" s="83" t="str">
        <f t="shared" si="2"/>
        <v/>
      </c>
      <c r="E63" s="83" t="str">
        <f t="shared" si="3"/>
        <v/>
      </c>
      <c r="F63" t="str">
        <f t="shared" si="5"/>
        <v/>
      </c>
      <c r="G63" s="83" t="str">
        <f t="shared" si="6"/>
        <v/>
      </c>
    </row>
    <row r="64" spans="1:7" x14ac:dyDescent="0.35">
      <c r="A64" t="str">
        <f t="shared" si="4"/>
        <v>-</v>
      </c>
      <c r="B64" s="83" t="str">
        <f t="shared" si="0"/>
        <v/>
      </c>
      <c r="C64" s="83" t="str">
        <f t="shared" si="1"/>
        <v/>
      </c>
      <c r="D64" s="83" t="str">
        <f t="shared" si="2"/>
        <v/>
      </c>
      <c r="E64" s="83" t="str">
        <f t="shared" si="3"/>
        <v/>
      </c>
      <c r="F64" t="str">
        <f t="shared" si="5"/>
        <v/>
      </c>
      <c r="G64" s="83" t="str">
        <f t="shared" si="6"/>
        <v/>
      </c>
    </row>
    <row r="65" spans="1:7" x14ac:dyDescent="0.35">
      <c r="A65" t="str">
        <f t="shared" si="4"/>
        <v>-</v>
      </c>
      <c r="B65" s="83" t="str">
        <f t="shared" si="0"/>
        <v/>
      </c>
      <c r="C65" s="83" t="str">
        <f t="shared" si="1"/>
        <v/>
      </c>
      <c r="D65" s="83" t="str">
        <f t="shared" si="2"/>
        <v/>
      </c>
      <c r="E65" s="83" t="str">
        <f t="shared" si="3"/>
        <v/>
      </c>
      <c r="F65" t="str">
        <f t="shared" si="5"/>
        <v/>
      </c>
      <c r="G65" s="83" t="str">
        <f t="shared" si="6"/>
        <v/>
      </c>
    </row>
    <row r="66" spans="1:7" x14ac:dyDescent="0.35">
      <c r="A66" t="str">
        <f t="shared" si="4"/>
        <v>-</v>
      </c>
      <c r="B66" s="83" t="str">
        <f t="shared" si="0"/>
        <v/>
      </c>
      <c r="C66" s="83" t="str">
        <f t="shared" si="1"/>
        <v/>
      </c>
      <c r="D66" s="83" t="str">
        <f t="shared" si="2"/>
        <v/>
      </c>
      <c r="E66" s="83" t="str">
        <f t="shared" si="3"/>
        <v/>
      </c>
      <c r="F66" t="str">
        <f t="shared" si="5"/>
        <v/>
      </c>
      <c r="G66" s="83" t="str">
        <f t="shared" si="6"/>
        <v/>
      </c>
    </row>
    <row r="67" spans="1:7" x14ac:dyDescent="0.35">
      <c r="A67" t="str">
        <f t="shared" si="4"/>
        <v>-</v>
      </c>
      <c r="B67" s="83" t="str">
        <f t="shared" si="0"/>
        <v/>
      </c>
      <c r="C67" s="83" t="str">
        <f t="shared" si="1"/>
        <v/>
      </c>
      <c r="D67" s="83" t="str">
        <f t="shared" si="2"/>
        <v/>
      </c>
      <c r="E67" s="83" t="str">
        <f t="shared" si="3"/>
        <v/>
      </c>
      <c r="F67" t="str">
        <f t="shared" si="5"/>
        <v/>
      </c>
      <c r="G67" s="83" t="str">
        <f t="shared" si="6"/>
        <v/>
      </c>
    </row>
    <row r="68" spans="1:7" x14ac:dyDescent="0.35">
      <c r="A68" t="str">
        <f t="shared" si="4"/>
        <v>-</v>
      </c>
      <c r="B68" s="83" t="str">
        <f t="shared" si="0"/>
        <v/>
      </c>
      <c r="C68" s="83" t="str">
        <f t="shared" si="1"/>
        <v/>
      </c>
      <c r="D68" s="83" t="str">
        <f t="shared" si="2"/>
        <v/>
      </c>
      <c r="E68" s="83" t="str">
        <f t="shared" si="3"/>
        <v/>
      </c>
      <c r="F68" t="str">
        <f t="shared" si="5"/>
        <v/>
      </c>
      <c r="G68" s="83" t="str">
        <f t="shared" si="6"/>
        <v/>
      </c>
    </row>
    <row r="69" spans="1:7" x14ac:dyDescent="0.35">
      <c r="A69" t="str">
        <f t="shared" si="4"/>
        <v>-</v>
      </c>
      <c r="B69" s="83" t="str">
        <f t="shared" si="0"/>
        <v/>
      </c>
      <c r="C69" s="83" t="str">
        <f t="shared" si="1"/>
        <v/>
      </c>
      <c r="D69" s="83" t="str">
        <f t="shared" si="2"/>
        <v/>
      </c>
      <c r="E69" s="83" t="str">
        <f t="shared" si="3"/>
        <v/>
      </c>
      <c r="F69" t="str">
        <f t="shared" si="5"/>
        <v/>
      </c>
      <c r="G69" s="83" t="str">
        <f t="shared" si="6"/>
        <v/>
      </c>
    </row>
    <row r="70" spans="1:7" x14ac:dyDescent="0.35">
      <c r="A70" t="str">
        <f t="shared" si="4"/>
        <v>-</v>
      </c>
      <c r="B70" s="83" t="str">
        <f t="shared" si="0"/>
        <v/>
      </c>
      <c r="C70" s="83" t="str">
        <f t="shared" si="1"/>
        <v/>
      </c>
      <c r="D70" s="83" t="str">
        <f t="shared" si="2"/>
        <v/>
      </c>
      <c r="E70" s="83" t="str">
        <f t="shared" si="3"/>
        <v/>
      </c>
      <c r="F70" t="str">
        <f t="shared" si="5"/>
        <v/>
      </c>
      <c r="G70" s="83" t="str">
        <f t="shared" si="6"/>
        <v/>
      </c>
    </row>
    <row r="71" spans="1:7" x14ac:dyDescent="0.35">
      <c r="A71" t="str">
        <f t="shared" si="4"/>
        <v>-</v>
      </c>
      <c r="B71" s="83" t="str">
        <f t="shared" si="0"/>
        <v/>
      </c>
      <c r="C71" s="83" t="str">
        <f t="shared" si="1"/>
        <v/>
      </c>
      <c r="D71" s="83" t="str">
        <f t="shared" si="2"/>
        <v/>
      </c>
      <c r="E71" s="83" t="str">
        <f t="shared" si="3"/>
        <v/>
      </c>
      <c r="F71" t="str">
        <f t="shared" si="5"/>
        <v/>
      </c>
      <c r="G71" s="83" t="str">
        <f t="shared" si="6"/>
        <v/>
      </c>
    </row>
    <row r="72" spans="1:7" x14ac:dyDescent="0.35">
      <c r="A72" t="str">
        <f t="shared" si="4"/>
        <v>-</v>
      </c>
      <c r="B72" s="83" t="str">
        <f t="shared" si="0"/>
        <v/>
      </c>
      <c r="C72" s="83" t="str">
        <f t="shared" si="1"/>
        <v/>
      </c>
      <c r="D72" s="83" t="str">
        <f t="shared" si="2"/>
        <v/>
      </c>
      <c r="E72" s="83" t="str">
        <f t="shared" si="3"/>
        <v/>
      </c>
      <c r="F72" t="str">
        <f t="shared" si="5"/>
        <v/>
      </c>
      <c r="G72" s="83" t="str">
        <f t="shared" si="6"/>
        <v/>
      </c>
    </row>
    <row r="73" spans="1:7" x14ac:dyDescent="0.35">
      <c r="A73" t="str">
        <f t="shared" si="4"/>
        <v>-</v>
      </c>
      <c r="B73" s="83" t="str">
        <f t="shared" si="0"/>
        <v/>
      </c>
      <c r="C73" s="83" t="str">
        <f t="shared" si="1"/>
        <v/>
      </c>
      <c r="D73" s="83" t="str">
        <f t="shared" si="2"/>
        <v/>
      </c>
      <c r="E73" s="83" t="str">
        <f t="shared" si="3"/>
        <v/>
      </c>
      <c r="F73" t="str">
        <f t="shared" si="5"/>
        <v/>
      </c>
      <c r="G73" s="83" t="str">
        <f t="shared" si="6"/>
        <v/>
      </c>
    </row>
    <row r="74" spans="1:7" x14ac:dyDescent="0.35">
      <c r="A74" t="str">
        <f t="shared" si="4"/>
        <v>-</v>
      </c>
      <c r="B74" s="83" t="str">
        <f t="shared" si="0"/>
        <v/>
      </c>
      <c r="C74" s="83" t="str">
        <f t="shared" si="1"/>
        <v/>
      </c>
      <c r="D74" s="83" t="str">
        <f t="shared" si="2"/>
        <v/>
      </c>
      <c r="E74" s="83" t="str">
        <f t="shared" si="3"/>
        <v/>
      </c>
      <c r="F74" t="str">
        <f t="shared" si="5"/>
        <v/>
      </c>
      <c r="G74" s="83" t="str">
        <f t="shared" si="6"/>
        <v/>
      </c>
    </row>
    <row r="75" spans="1:7" x14ac:dyDescent="0.35">
      <c r="A75" t="str">
        <f t="shared" si="4"/>
        <v>-</v>
      </c>
      <c r="B75" s="83" t="str">
        <f t="shared" si="0"/>
        <v/>
      </c>
      <c r="C75" s="83" t="str">
        <f t="shared" si="1"/>
        <v/>
      </c>
      <c r="D75" s="83" t="str">
        <f t="shared" si="2"/>
        <v/>
      </c>
      <c r="E75" s="83" t="str">
        <f t="shared" si="3"/>
        <v/>
      </c>
      <c r="F75" t="str">
        <f t="shared" si="5"/>
        <v/>
      </c>
      <c r="G75" s="83" t="str">
        <f t="shared" si="6"/>
        <v/>
      </c>
    </row>
    <row r="76" spans="1:7" x14ac:dyDescent="0.35">
      <c r="A76" t="str">
        <f t="shared" si="4"/>
        <v>-</v>
      </c>
      <c r="B76" s="83" t="str">
        <f t="shared" si="0"/>
        <v/>
      </c>
      <c r="C76" s="83" t="str">
        <f t="shared" si="1"/>
        <v/>
      </c>
      <c r="D76" s="83" t="str">
        <f t="shared" si="2"/>
        <v/>
      </c>
      <c r="E76" s="83" t="str">
        <f t="shared" si="3"/>
        <v/>
      </c>
      <c r="F76" t="str">
        <f t="shared" si="5"/>
        <v/>
      </c>
      <c r="G76" s="83" t="str">
        <f t="shared" si="6"/>
        <v/>
      </c>
    </row>
    <row r="77" spans="1:7" x14ac:dyDescent="0.35">
      <c r="A77" t="str">
        <f t="shared" si="4"/>
        <v>-</v>
      </c>
      <c r="B77" s="83" t="str">
        <f t="shared" si="0"/>
        <v/>
      </c>
      <c r="C77" s="83" t="str">
        <f t="shared" si="1"/>
        <v/>
      </c>
      <c r="D77" s="83" t="str">
        <f t="shared" si="2"/>
        <v/>
      </c>
      <c r="E77" s="83" t="str">
        <f t="shared" si="3"/>
        <v/>
      </c>
      <c r="F77" t="str">
        <f t="shared" si="5"/>
        <v/>
      </c>
      <c r="G77" s="83" t="str">
        <f t="shared" si="6"/>
        <v/>
      </c>
    </row>
    <row r="78" spans="1:7" x14ac:dyDescent="0.35">
      <c r="A78" t="str">
        <f t="shared" si="4"/>
        <v>-</v>
      </c>
      <c r="B78" s="83" t="str">
        <f t="shared" si="0"/>
        <v/>
      </c>
      <c r="C78" s="83" t="str">
        <f t="shared" si="1"/>
        <v/>
      </c>
      <c r="D78" s="83" t="str">
        <f t="shared" si="2"/>
        <v/>
      </c>
      <c r="E78" s="83" t="str">
        <f t="shared" si="3"/>
        <v/>
      </c>
      <c r="F78" t="str">
        <f t="shared" si="5"/>
        <v/>
      </c>
      <c r="G78" s="83" t="str">
        <f t="shared" si="6"/>
        <v/>
      </c>
    </row>
    <row r="79" spans="1:7" x14ac:dyDescent="0.35">
      <c r="A79" t="str">
        <f t="shared" si="4"/>
        <v>-</v>
      </c>
      <c r="B79" s="83" t="str">
        <f t="shared" ref="B79:B133" si="7">IF(A79&lt;&gt;"-",C79+D79,"")</f>
        <v/>
      </c>
      <c r="C79" s="83" t="str">
        <f t="shared" ref="C79:C133" si="8">IF(A79&lt;&gt;"-",-PPMT((1+$B$2)^(1/12)-1,A79,$B$4*12,$B$3),"")</f>
        <v/>
      </c>
      <c r="D79" s="83" t="str">
        <f t="shared" ref="D79:D133" si="9">IF(A79&lt;&gt;"-",-IPMT((1+$B$2)^(1/12)-1,A79,$B$4*12,$B$3),"")</f>
        <v/>
      </c>
      <c r="E79" s="83" t="str">
        <f t="shared" ref="E79:E133" si="10">IF(A79&lt;&gt;"-",$B$3+CUMPRINC((1+$B$2)^(1/12)-1,$B$4*12,$B$3,1,A79,0),"")</f>
        <v/>
      </c>
      <c r="F79" t="str">
        <f t="shared" si="5"/>
        <v/>
      </c>
      <c r="G79" s="83" t="str">
        <f t="shared" si="6"/>
        <v/>
      </c>
    </row>
    <row r="80" spans="1:7" x14ac:dyDescent="0.35">
      <c r="A80" t="str">
        <f t="shared" ref="A80:A133" si="11">IF(AND($B$4&lt;&gt;0,A79&lt;$C$4),A79+1,"-")</f>
        <v>-</v>
      </c>
      <c r="B80" s="83" t="str">
        <f t="shared" si="7"/>
        <v/>
      </c>
      <c r="C80" s="83" t="str">
        <f t="shared" si="8"/>
        <v/>
      </c>
      <c r="D80" s="83" t="str">
        <f t="shared" si="9"/>
        <v/>
      </c>
      <c r="E80" s="83" t="str">
        <f t="shared" si="10"/>
        <v/>
      </c>
      <c r="F80" t="str">
        <f t="shared" ref="F80:F133" si="12">IF(A80&lt;&gt;"-",IF(G79&lt;G80,F79,F79+1),"")</f>
        <v/>
      </c>
      <c r="G80" s="83" t="str">
        <f t="shared" ref="G80:G133" si="13">IF(A80="-","",IF(G79&lt;12,G79+1,1))</f>
        <v/>
      </c>
    </row>
    <row r="81" spans="1:7" x14ac:dyDescent="0.35">
      <c r="A81" t="str">
        <f t="shared" si="11"/>
        <v>-</v>
      </c>
      <c r="B81" s="83" t="str">
        <f t="shared" si="7"/>
        <v/>
      </c>
      <c r="C81" s="83" t="str">
        <f t="shared" si="8"/>
        <v/>
      </c>
      <c r="D81" s="83" t="str">
        <f t="shared" si="9"/>
        <v/>
      </c>
      <c r="E81" s="83" t="str">
        <f t="shared" si="10"/>
        <v/>
      </c>
      <c r="F81" t="str">
        <f t="shared" si="12"/>
        <v/>
      </c>
      <c r="G81" s="83" t="str">
        <f t="shared" si="13"/>
        <v/>
      </c>
    </row>
    <row r="82" spans="1:7" x14ac:dyDescent="0.35">
      <c r="A82" t="str">
        <f t="shared" si="11"/>
        <v>-</v>
      </c>
      <c r="B82" s="83" t="str">
        <f t="shared" si="7"/>
        <v/>
      </c>
      <c r="C82" s="83" t="str">
        <f t="shared" si="8"/>
        <v/>
      </c>
      <c r="D82" s="83" t="str">
        <f t="shared" si="9"/>
        <v/>
      </c>
      <c r="E82" s="83" t="str">
        <f t="shared" si="10"/>
        <v/>
      </c>
      <c r="F82" t="str">
        <f t="shared" si="12"/>
        <v/>
      </c>
      <c r="G82" s="83" t="str">
        <f t="shared" si="13"/>
        <v/>
      </c>
    </row>
    <row r="83" spans="1:7" x14ac:dyDescent="0.35">
      <c r="A83" t="str">
        <f t="shared" si="11"/>
        <v>-</v>
      </c>
      <c r="B83" s="83" t="str">
        <f t="shared" si="7"/>
        <v/>
      </c>
      <c r="C83" s="83" t="str">
        <f t="shared" si="8"/>
        <v/>
      </c>
      <c r="D83" s="83" t="str">
        <f t="shared" si="9"/>
        <v/>
      </c>
      <c r="E83" s="83" t="str">
        <f t="shared" si="10"/>
        <v/>
      </c>
      <c r="F83" t="str">
        <f t="shared" si="12"/>
        <v/>
      </c>
      <c r="G83" s="83" t="str">
        <f t="shared" si="13"/>
        <v/>
      </c>
    </row>
    <row r="84" spans="1:7" x14ac:dyDescent="0.35">
      <c r="A84" t="str">
        <f t="shared" si="11"/>
        <v>-</v>
      </c>
      <c r="B84" s="83" t="str">
        <f t="shared" si="7"/>
        <v/>
      </c>
      <c r="C84" s="83" t="str">
        <f t="shared" si="8"/>
        <v/>
      </c>
      <c r="D84" s="83" t="str">
        <f t="shared" si="9"/>
        <v/>
      </c>
      <c r="E84" s="83" t="str">
        <f t="shared" si="10"/>
        <v/>
      </c>
      <c r="F84" t="str">
        <f t="shared" si="12"/>
        <v/>
      </c>
      <c r="G84" s="83" t="str">
        <f t="shared" si="13"/>
        <v/>
      </c>
    </row>
    <row r="85" spans="1:7" x14ac:dyDescent="0.35">
      <c r="A85" t="str">
        <f t="shared" si="11"/>
        <v>-</v>
      </c>
      <c r="B85" s="83" t="str">
        <f t="shared" si="7"/>
        <v/>
      </c>
      <c r="C85" s="83" t="str">
        <f t="shared" si="8"/>
        <v/>
      </c>
      <c r="D85" s="83" t="str">
        <f t="shared" si="9"/>
        <v/>
      </c>
      <c r="E85" s="83" t="str">
        <f t="shared" si="10"/>
        <v/>
      </c>
      <c r="F85" t="str">
        <f t="shared" si="12"/>
        <v/>
      </c>
      <c r="G85" s="83" t="str">
        <f t="shared" si="13"/>
        <v/>
      </c>
    </row>
    <row r="86" spans="1:7" x14ac:dyDescent="0.35">
      <c r="A86" t="str">
        <f t="shared" si="11"/>
        <v>-</v>
      </c>
      <c r="B86" s="83" t="str">
        <f t="shared" si="7"/>
        <v/>
      </c>
      <c r="C86" s="83" t="str">
        <f t="shared" si="8"/>
        <v/>
      </c>
      <c r="D86" s="83" t="str">
        <f t="shared" si="9"/>
        <v/>
      </c>
      <c r="E86" s="83" t="str">
        <f t="shared" si="10"/>
        <v/>
      </c>
      <c r="F86" t="str">
        <f t="shared" si="12"/>
        <v/>
      </c>
      <c r="G86" s="83" t="str">
        <f t="shared" si="13"/>
        <v/>
      </c>
    </row>
    <row r="87" spans="1:7" x14ac:dyDescent="0.35">
      <c r="A87" t="str">
        <f t="shared" si="11"/>
        <v>-</v>
      </c>
      <c r="B87" s="83" t="str">
        <f t="shared" si="7"/>
        <v/>
      </c>
      <c r="C87" s="83" t="str">
        <f t="shared" si="8"/>
        <v/>
      </c>
      <c r="D87" s="83" t="str">
        <f t="shared" si="9"/>
        <v/>
      </c>
      <c r="E87" s="83" t="str">
        <f t="shared" si="10"/>
        <v/>
      </c>
      <c r="F87" t="str">
        <f t="shared" si="12"/>
        <v/>
      </c>
      <c r="G87" s="83" t="str">
        <f t="shared" si="13"/>
        <v/>
      </c>
    </row>
    <row r="88" spans="1:7" x14ac:dyDescent="0.35">
      <c r="A88" t="str">
        <f t="shared" si="11"/>
        <v>-</v>
      </c>
      <c r="B88" s="83" t="str">
        <f t="shared" si="7"/>
        <v/>
      </c>
      <c r="C88" s="83" t="str">
        <f t="shared" si="8"/>
        <v/>
      </c>
      <c r="D88" s="83" t="str">
        <f t="shared" si="9"/>
        <v/>
      </c>
      <c r="E88" s="83" t="str">
        <f t="shared" si="10"/>
        <v/>
      </c>
      <c r="F88" t="str">
        <f t="shared" si="12"/>
        <v/>
      </c>
      <c r="G88" s="83" t="str">
        <f t="shared" si="13"/>
        <v/>
      </c>
    </row>
    <row r="89" spans="1:7" x14ac:dyDescent="0.35">
      <c r="A89" t="str">
        <f t="shared" si="11"/>
        <v>-</v>
      </c>
      <c r="B89" s="83" t="str">
        <f t="shared" si="7"/>
        <v/>
      </c>
      <c r="C89" s="83" t="str">
        <f t="shared" si="8"/>
        <v/>
      </c>
      <c r="D89" s="83" t="str">
        <f t="shared" si="9"/>
        <v/>
      </c>
      <c r="E89" s="83" t="str">
        <f t="shared" si="10"/>
        <v/>
      </c>
      <c r="F89" t="str">
        <f t="shared" si="12"/>
        <v/>
      </c>
      <c r="G89" s="83" t="str">
        <f t="shared" si="13"/>
        <v/>
      </c>
    </row>
    <row r="90" spans="1:7" x14ac:dyDescent="0.35">
      <c r="A90" t="str">
        <f t="shared" si="11"/>
        <v>-</v>
      </c>
      <c r="B90" s="83" t="str">
        <f t="shared" si="7"/>
        <v/>
      </c>
      <c r="C90" s="83" t="str">
        <f t="shared" si="8"/>
        <v/>
      </c>
      <c r="D90" s="83" t="str">
        <f t="shared" si="9"/>
        <v/>
      </c>
      <c r="E90" s="83" t="str">
        <f t="shared" si="10"/>
        <v/>
      </c>
      <c r="F90" t="str">
        <f t="shared" si="12"/>
        <v/>
      </c>
      <c r="G90" s="83" t="str">
        <f t="shared" si="13"/>
        <v/>
      </c>
    </row>
    <row r="91" spans="1:7" x14ac:dyDescent="0.35">
      <c r="A91" t="str">
        <f t="shared" si="11"/>
        <v>-</v>
      </c>
      <c r="B91" s="83" t="str">
        <f t="shared" si="7"/>
        <v/>
      </c>
      <c r="C91" s="83" t="str">
        <f t="shared" si="8"/>
        <v/>
      </c>
      <c r="D91" s="83" t="str">
        <f t="shared" si="9"/>
        <v/>
      </c>
      <c r="E91" s="83" t="str">
        <f t="shared" si="10"/>
        <v/>
      </c>
      <c r="F91" t="str">
        <f t="shared" si="12"/>
        <v/>
      </c>
      <c r="G91" s="83" t="str">
        <f t="shared" si="13"/>
        <v/>
      </c>
    </row>
    <row r="92" spans="1:7" x14ac:dyDescent="0.35">
      <c r="A92" t="str">
        <f t="shared" si="11"/>
        <v>-</v>
      </c>
      <c r="B92" s="83" t="str">
        <f t="shared" si="7"/>
        <v/>
      </c>
      <c r="C92" s="83" t="str">
        <f t="shared" si="8"/>
        <v/>
      </c>
      <c r="D92" s="83" t="str">
        <f t="shared" si="9"/>
        <v/>
      </c>
      <c r="E92" s="83" t="str">
        <f t="shared" si="10"/>
        <v/>
      </c>
      <c r="F92" t="str">
        <f t="shared" si="12"/>
        <v/>
      </c>
      <c r="G92" s="83" t="str">
        <f t="shared" si="13"/>
        <v/>
      </c>
    </row>
    <row r="93" spans="1:7" x14ac:dyDescent="0.35">
      <c r="A93" t="str">
        <f t="shared" si="11"/>
        <v>-</v>
      </c>
      <c r="B93" s="83" t="str">
        <f t="shared" si="7"/>
        <v/>
      </c>
      <c r="C93" s="83" t="str">
        <f t="shared" si="8"/>
        <v/>
      </c>
      <c r="D93" s="83" t="str">
        <f t="shared" si="9"/>
        <v/>
      </c>
      <c r="E93" s="83" t="str">
        <f t="shared" si="10"/>
        <v/>
      </c>
      <c r="F93" t="str">
        <f t="shared" si="12"/>
        <v/>
      </c>
      <c r="G93" s="83" t="str">
        <f t="shared" si="13"/>
        <v/>
      </c>
    </row>
    <row r="94" spans="1:7" x14ac:dyDescent="0.35">
      <c r="A94" t="str">
        <f t="shared" si="11"/>
        <v>-</v>
      </c>
      <c r="B94" s="83" t="str">
        <f t="shared" si="7"/>
        <v/>
      </c>
      <c r="C94" s="83" t="str">
        <f t="shared" si="8"/>
        <v/>
      </c>
      <c r="D94" s="83" t="str">
        <f t="shared" si="9"/>
        <v/>
      </c>
      <c r="E94" s="83" t="str">
        <f t="shared" si="10"/>
        <v/>
      </c>
      <c r="F94" t="str">
        <f t="shared" si="12"/>
        <v/>
      </c>
      <c r="G94" s="83" t="str">
        <f t="shared" si="13"/>
        <v/>
      </c>
    </row>
    <row r="95" spans="1:7" x14ac:dyDescent="0.35">
      <c r="A95" t="str">
        <f t="shared" si="11"/>
        <v>-</v>
      </c>
      <c r="B95" s="83" t="str">
        <f t="shared" si="7"/>
        <v/>
      </c>
      <c r="C95" s="83" t="str">
        <f t="shared" si="8"/>
        <v/>
      </c>
      <c r="D95" s="83" t="str">
        <f t="shared" si="9"/>
        <v/>
      </c>
      <c r="E95" s="83" t="str">
        <f t="shared" si="10"/>
        <v/>
      </c>
      <c r="F95" t="str">
        <f t="shared" si="12"/>
        <v/>
      </c>
      <c r="G95" s="83" t="str">
        <f t="shared" si="13"/>
        <v/>
      </c>
    </row>
    <row r="96" spans="1:7" x14ac:dyDescent="0.35">
      <c r="A96" t="str">
        <f t="shared" si="11"/>
        <v>-</v>
      </c>
      <c r="B96" s="83" t="str">
        <f t="shared" si="7"/>
        <v/>
      </c>
      <c r="C96" s="83" t="str">
        <f t="shared" si="8"/>
        <v/>
      </c>
      <c r="D96" s="83" t="str">
        <f t="shared" si="9"/>
        <v/>
      </c>
      <c r="E96" s="83" t="str">
        <f t="shared" si="10"/>
        <v/>
      </c>
      <c r="F96" t="str">
        <f t="shared" si="12"/>
        <v/>
      </c>
      <c r="G96" s="83" t="str">
        <f t="shared" si="13"/>
        <v/>
      </c>
    </row>
    <row r="97" spans="1:7" x14ac:dyDescent="0.35">
      <c r="A97" t="str">
        <f t="shared" si="11"/>
        <v>-</v>
      </c>
      <c r="B97" s="83" t="str">
        <f t="shared" si="7"/>
        <v/>
      </c>
      <c r="C97" s="83" t="str">
        <f t="shared" si="8"/>
        <v/>
      </c>
      <c r="D97" s="83" t="str">
        <f t="shared" si="9"/>
        <v/>
      </c>
      <c r="E97" s="83" t="str">
        <f t="shared" si="10"/>
        <v/>
      </c>
      <c r="F97" t="str">
        <f t="shared" si="12"/>
        <v/>
      </c>
      <c r="G97" s="83" t="str">
        <f t="shared" si="13"/>
        <v/>
      </c>
    </row>
    <row r="98" spans="1:7" x14ac:dyDescent="0.35">
      <c r="A98" t="str">
        <f t="shared" si="11"/>
        <v>-</v>
      </c>
      <c r="B98" s="83" t="str">
        <f t="shared" si="7"/>
        <v/>
      </c>
      <c r="C98" s="83" t="str">
        <f t="shared" si="8"/>
        <v/>
      </c>
      <c r="D98" s="83" t="str">
        <f t="shared" si="9"/>
        <v/>
      </c>
      <c r="E98" s="83" t="str">
        <f t="shared" si="10"/>
        <v/>
      </c>
      <c r="F98" t="str">
        <f t="shared" si="12"/>
        <v/>
      </c>
      <c r="G98" s="83" t="str">
        <f t="shared" si="13"/>
        <v/>
      </c>
    </row>
    <row r="99" spans="1:7" x14ac:dyDescent="0.35">
      <c r="A99" t="str">
        <f t="shared" si="11"/>
        <v>-</v>
      </c>
      <c r="B99" s="83" t="str">
        <f t="shared" si="7"/>
        <v/>
      </c>
      <c r="C99" s="83" t="str">
        <f t="shared" si="8"/>
        <v/>
      </c>
      <c r="D99" s="83" t="str">
        <f t="shared" si="9"/>
        <v/>
      </c>
      <c r="E99" s="83" t="str">
        <f t="shared" si="10"/>
        <v/>
      </c>
      <c r="F99" t="str">
        <f t="shared" si="12"/>
        <v/>
      </c>
      <c r="G99" s="83" t="str">
        <f t="shared" si="13"/>
        <v/>
      </c>
    </row>
    <row r="100" spans="1:7" x14ac:dyDescent="0.35">
      <c r="A100" t="str">
        <f t="shared" si="11"/>
        <v>-</v>
      </c>
      <c r="B100" s="83" t="str">
        <f t="shared" si="7"/>
        <v/>
      </c>
      <c r="C100" s="83" t="str">
        <f t="shared" si="8"/>
        <v/>
      </c>
      <c r="D100" s="83" t="str">
        <f t="shared" si="9"/>
        <v/>
      </c>
      <c r="E100" s="83" t="str">
        <f t="shared" si="10"/>
        <v/>
      </c>
      <c r="F100" t="str">
        <f t="shared" si="12"/>
        <v/>
      </c>
      <c r="G100" s="83" t="str">
        <f t="shared" si="13"/>
        <v/>
      </c>
    </row>
    <row r="101" spans="1:7" x14ac:dyDescent="0.35">
      <c r="A101" t="str">
        <f t="shared" si="11"/>
        <v>-</v>
      </c>
      <c r="B101" s="83" t="str">
        <f t="shared" si="7"/>
        <v/>
      </c>
      <c r="C101" s="83" t="str">
        <f t="shared" si="8"/>
        <v/>
      </c>
      <c r="D101" s="83" t="str">
        <f t="shared" si="9"/>
        <v/>
      </c>
      <c r="E101" s="83" t="str">
        <f t="shared" si="10"/>
        <v/>
      </c>
      <c r="F101" t="str">
        <f t="shared" si="12"/>
        <v/>
      </c>
      <c r="G101" s="83" t="str">
        <f t="shared" si="13"/>
        <v/>
      </c>
    </row>
    <row r="102" spans="1:7" x14ac:dyDescent="0.35">
      <c r="A102" t="str">
        <f t="shared" si="11"/>
        <v>-</v>
      </c>
      <c r="B102" s="83" t="str">
        <f t="shared" si="7"/>
        <v/>
      </c>
      <c r="C102" s="83" t="str">
        <f t="shared" si="8"/>
        <v/>
      </c>
      <c r="D102" s="83" t="str">
        <f t="shared" si="9"/>
        <v/>
      </c>
      <c r="E102" s="83" t="str">
        <f t="shared" si="10"/>
        <v/>
      </c>
      <c r="F102" t="str">
        <f t="shared" si="12"/>
        <v/>
      </c>
      <c r="G102" s="83" t="str">
        <f t="shared" si="13"/>
        <v/>
      </c>
    </row>
    <row r="103" spans="1:7" x14ac:dyDescent="0.35">
      <c r="A103" t="str">
        <f t="shared" si="11"/>
        <v>-</v>
      </c>
      <c r="B103" s="83" t="str">
        <f t="shared" si="7"/>
        <v/>
      </c>
      <c r="C103" s="83" t="str">
        <f t="shared" si="8"/>
        <v/>
      </c>
      <c r="D103" s="83" t="str">
        <f t="shared" si="9"/>
        <v/>
      </c>
      <c r="E103" s="83" t="str">
        <f t="shared" si="10"/>
        <v/>
      </c>
      <c r="F103" t="str">
        <f t="shared" si="12"/>
        <v/>
      </c>
      <c r="G103" s="83" t="str">
        <f t="shared" si="13"/>
        <v/>
      </c>
    </row>
    <row r="104" spans="1:7" x14ac:dyDescent="0.35">
      <c r="A104" t="str">
        <f t="shared" si="11"/>
        <v>-</v>
      </c>
      <c r="B104" s="83" t="str">
        <f t="shared" si="7"/>
        <v/>
      </c>
      <c r="C104" s="83" t="str">
        <f t="shared" si="8"/>
        <v/>
      </c>
      <c r="D104" s="83" t="str">
        <f t="shared" si="9"/>
        <v/>
      </c>
      <c r="E104" s="83" t="str">
        <f t="shared" si="10"/>
        <v/>
      </c>
      <c r="F104" t="str">
        <f t="shared" si="12"/>
        <v/>
      </c>
      <c r="G104" s="83" t="str">
        <f t="shared" si="13"/>
        <v/>
      </c>
    </row>
    <row r="105" spans="1:7" x14ac:dyDescent="0.35">
      <c r="A105" t="str">
        <f t="shared" si="11"/>
        <v>-</v>
      </c>
      <c r="B105" s="83" t="str">
        <f t="shared" si="7"/>
        <v/>
      </c>
      <c r="C105" s="83" t="str">
        <f t="shared" si="8"/>
        <v/>
      </c>
      <c r="D105" s="83" t="str">
        <f t="shared" si="9"/>
        <v/>
      </c>
      <c r="E105" s="83" t="str">
        <f t="shared" si="10"/>
        <v/>
      </c>
      <c r="F105" t="str">
        <f t="shared" si="12"/>
        <v/>
      </c>
      <c r="G105" s="83" t="str">
        <f t="shared" si="13"/>
        <v/>
      </c>
    </row>
    <row r="106" spans="1:7" x14ac:dyDescent="0.35">
      <c r="A106" t="str">
        <f t="shared" si="11"/>
        <v>-</v>
      </c>
      <c r="B106" s="83" t="str">
        <f t="shared" si="7"/>
        <v/>
      </c>
      <c r="C106" s="83" t="str">
        <f t="shared" si="8"/>
        <v/>
      </c>
      <c r="D106" s="83" t="str">
        <f t="shared" si="9"/>
        <v/>
      </c>
      <c r="E106" s="83" t="str">
        <f t="shared" si="10"/>
        <v/>
      </c>
      <c r="F106" t="str">
        <f t="shared" si="12"/>
        <v/>
      </c>
      <c r="G106" s="83" t="str">
        <f t="shared" si="13"/>
        <v/>
      </c>
    </row>
    <row r="107" spans="1:7" x14ac:dyDescent="0.35">
      <c r="A107" t="str">
        <f t="shared" si="11"/>
        <v>-</v>
      </c>
      <c r="B107" s="83" t="str">
        <f t="shared" si="7"/>
        <v/>
      </c>
      <c r="C107" s="83" t="str">
        <f t="shared" si="8"/>
        <v/>
      </c>
      <c r="D107" s="83" t="str">
        <f t="shared" si="9"/>
        <v/>
      </c>
      <c r="E107" s="83" t="str">
        <f t="shared" si="10"/>
        <v/>
      </c>
      <c r="F107" t="str">
        <f t="shared" si="12"/>
        <v/>
      </c>
      <c r="G107" s="83" t="str">
        <f t="shared" si="13"/>
        <v/>
      </c>
    </row>
    <row r="108" spans="1:7" x14ac:dyDescent="0.35">
      <c r="A108" t="str">
        <f t="shared" si="11"/>
        <v>-</v>
      </c>
      <c r="B108" s="83" t="str">
        <f t="shared" si="7"/>
        <v/>
      </c>
      <c r="C108" s="83" t="str">
        <f t="shared" si="8"/>
        <v/>
      </c>
      <c r="D108" s="83" t="str">
        <f t="shared" si="9"/>
        <v/>
      </c>
      <c r="E108" s="83" t="str">
        <f t="shared" si="10"/>
        <v/>
      </c>
      <c r="F108" t="str">
        <f t="shared" si="12"/>
        <v/>
      </c>
      <c r="G108" s="83" t="str">
        <f t="shared" si="13"/>
        <v/>
      </c>
    </row>
    <row r="109" spans="1:7" x14ac:dyDescent="0.35">
      <c r="A109" t="str">
        <f t="shared" si="11"/>
        <v>-</v>
      </c>
      <c r="B109" s="83" t="str">
        <f t="shared" si="7"/>
        <v/>
      </c>
      <c r="C109" s="83" t="str">
        <f t="shared" si="8"/>
        <v/>
      </c>
      <c r="D109" s="83" t="str">
        <f t="shared" si="9"/>
        <v/>
      </c>
      <c r="E109" s="83" t="str">
        <f t="shared" si="10"/>
        <v/>
      </c>
      <c r="F109" t="str">
        <f t="shared" si="12"/>
        <v/>
      </c>
      <c r="G109" s="83" t="str">
        <f t="shared" si="13"/>
        <v/>
      </c>
    </row>
    <row r="110" spans="1:7" x14ac:dyDescent="0.35">
      <c r="A110" t="str">
        <f t="shared" si="11"/>
        <v>-</v>
      </c>
      <c r="B110" s="83" t="str">
        <f t="shared" si="7"/>
        <v/>
      </c>
      <c r="C110" s="83" t="str">
        <f t="shared" si="8"/>
        <v/>
      </c>
      <c r="D110" s="83" t="str">
        <f t="shared" si="9"/>
        <v/>
      </c>
      <c r="E110" s="83" t="str">
        <f t="shared" si="10"/>
        <v/>
      </c>
      <c r="F110" t="str">
        <f t="shared" si="12"/>
        <v/>
      </c>
      <c r="G110" s="83" t="str">
        <f t="shared" si="13"/>
        <v/>
      </c>
    </row>
    <row r="111" spans="1:7" x14ac:dyDescent="0.35">
      <c r="A111" t="str">
        <f t="shared" si="11"/>
        <v>-</v>
      </c>
      <c r="B111" s="83" t="str">
        <f t="shared" si="7"/>
        <v/>
      </c>
      <c r="C111" s="83" t="str">
        <f t="shared" si="8"/>
        <v/>
      </c>
      <c r="D111" s="83" t="str">
        <f t="shared" si="9"/>
        <v/>
      </c>
      <c r="E111" s="83" t="str">
        <f t="shared" si="10"/>
        <v/>
      </c>
      <c r="F111" t="str">
        <f t="shared" si="12"/>
        <v/>
      </c>
      <c r="G111" s="83" t="str">
        <f t="shared" si="13"/>
        <v/>
      </c>
    </row>
    <row r="112" spans="1:7" x14ac:dyDescent="0.35">
      <c r="A112" t="str">
        <f t="shared" si="11"/>
        <v>-</v>
      </c>
      <c r="B112" s="83" t="str">
        <f t="shared" si="7"/>
        <v/>
      </c>
      <c r="C112" s="83" t="str">
        <f t="shared" si="8"/>
        <v/>
      </c>
      <c r="D112" s="83" t="str">
        <f t="shared" si="9"/>
        <v/>
      </c>
      <c r="E112" s="83" t="str">
        <f t="shared" si="10"/>
        <v/>
      </c>
      <c r="F112" t="str">
        <f t="shared" si="12"/>
        <v/>
      </c>
      <c r="G112" s="83" t="str">
        <f t="shared" si="13"/>
        <v/>
      </c>
    </row>
    <row r="113" spans="1:7" x14ac:dyDescent="0.35">
      <c r="A113" t="str">
        <f t="shared" si="11"/>
        <v>-</v>
      </c>
      <c r="B113" s="83" t="str">
        <f t="shared" si="7"/>
        <v/>
      </c>
      <c r="C113" s="83" t="str">
        <f t="shared" si="8"/>
        <v/>
      </c>
      <c r="D113" s="83" t="str">
        <f t="shared" si="9"/>
        <v/>
      </c>
      <c r="E113" s="83" t="str">
        <f t="shared" si="10"/>
        <v/>
      </c>
      <c r="F113" t="str">
        <f t="shared" si="12"/>
        <v/>
      </c>
      <c r="G113" s="83" t="str">
        <f t="shared" si="13"/>
        <v/>
      </c>
    </row>
    <row r="114" spans="1:7" x14ac:dyDescent="0.35">
      <c r="A114" t="str">
        <f t="shared" si="11"/>
        <v>-</v>
      </c>
      <c r="B114" s="83" t="str">
        <f t="shared" si="7"/>
        <v/>
      </c>
      <c r="C114" s="83" t="str">
        <f t="shared" si="8"/>
        <v/>
      </c>
      <c r="D114" s="83" t="str">
        <f t="shared" si="9"/>
        <v/>
      </c>
      <c r="E114" s="83" t="str">
        <f t="shared" si="10"/>
        <v/>
      </c>
      <c r="F114" t="str">
        <f t="shared" si="12"/>
        <v/>
      </c>
      <c r="G114" s="83" t="str">
        <f t="shared" si="13"/>
        <v/>
      </c>
    </row>
    <row r="115" spans="1:7" x14ac:dyDescent="0.35">
      <c r="A115" t="str">
        <f t="shared" si="11"/>
        <v>-</v>
      </c>
      <c r="B115" s="83" t="str">
        <f t="shared" si="7"/>
        <v/>
      </c>
      <c r="C115" s="83" t="str">
        <f t="shared" si="8"/>
        <v/>
      </c>
      <c r="D115" s="83" t="str">
        <f t="shared" si="9"/>
        <v/>
      </c>
      <c r="E115" s="83" t="str">
        <f t="shared" si="10"/>
        <v/>
      </c>
      <c r="F115" t="str">
        <f t="shared" si="12"/>
        <v/>
      </c>
      <c r="G115" s="83" t="str">
        <f t="shared" si="13"/>
        <v/>
      </c>
    </row>
    <row r="116" spans="1:7" x14ac:dyDescent="0.35">
      <c r="A116" t="str">
        <f t="shared" si="11"/>
        <v>-</v>
      </c>
      <c r="B116" s="83" t="str">
        <f t="shared" si="7"/>
        <v/>
      </c>
      <c r="C116" s="83" t="str">
        <f t="shared" si="8"/>
        <v/>
      </c>
      <c r="D116" s="83" t="str">
        <f t="shared" si="9"/>
        <v/>
      </c>
      <c r="E116" s="83" t="str">
        <f t="shared" si="10"/>
        <v/>
      </c>
      <c r="F116" t="str">
        <f t="shared" si="12"/>
        <v/>
      </c>
      <c r="G116" s="83" t="str">
        <f t="shared" si="13"/>
        <v/>
      </c>
    </row>
    <row r="117" spans="1:7" x14ac:dyDescent="0.35">
      <c r="A117" t="str">
        <f t="shared" si="11"/>
        <v>-</v>
      </c>
      <c r="B117" s="83" t="str">
        <f t="shared" si="7"/>
        <v/>
      </c>
      <c r="C117" s="83" t="str">
        <f t="shared" si="8"/>
        <v/>
      </c>
      <c r="D117" s="83" t="str">
        <f t="shared" si="9"/>
        <v/>
      </c>
      <c r="E117" s="83" t="str">
        <f t="shared" si="10"/>
        <v/>
      </c>
      <c r="F117" t="str">
        <f t="shared" si="12"/>
        <v/>
      </c>
      <c r="G117" s="83" t="str">
        <f t="shared" si="13"/>
        <v/>
      </c>
    </row>
    <row r="118" spans="1:7" x14ac:dyDescent="0.35">
      <c r="A118" t="str">
        <f t="shared" si="11"/>
        <v>-</v>
      </c>
      <c r="B118" s="83" t="str">
        <f t="shared" si="7"/>
        <v/>
      </c>
      <c r="C118" s="83" t="str">
        <f t="shared" si="8"/>
        <v/>
      </c>
      <c r="D118" s="83" t="str">
        <f t="shared" si="9"/>
        <v/>
      </c>
      <c r="E118" s="83" t="str">
        <f t="shared" si="10"/>
        <v/>
      </c>
      <c r="F118" t="str">
        <f t="shared" si="12"/>
        <v/>
      </c>
      <c r="G118" s="83" t="str">
        <f t="shared" si="13"/>
        <v/>
      </c>
    </row>
    <row r="119" spans="1:7" x14ac:dyDescent="0.35">
      <c r="A119" t="str">
        <f t="shared" si="11"/>
        <v>-</v>
      </c>
      <c r="B119" s="83" t="str">
        <f t="shared" si="7"/>
        <v/>
      </c>
      <c r="C119" s="83" t="str">
        <f t="shared" si="8"/>
        <v/>
      </c>
      <c r="D119" s="83" t="str">
        <f t="shared" si="9"/>
        <v/>
      </c>
      <c r="E119" s="83" t="str">
        <f t="shared" si="10"/>
        <v/>
      </c>
      <c r="F119" t="str">
        <f t="shared" si="12"/>
        <v/>
      </c>
      <c r="G119" s="83" t="str">
        <f t="shared" si="13"/>
        <v/>
      </c>
    </row>
    <row r="120" spans="1:7" x14ac:dyDescent="0.35">
      <c r="A120" t="str">
        <f t="shared" si="11"/>
        <v>-</v>
      </c>
      <c r="B120" s="83" t="str">
        <f t="shared" si="7"/>
        <v/>
      </c>
      <c r="C120" s="83" t="str">
        <f t="shared" si="8"/>
        <v/>
      </c>
      <c r="D120" s="83" t="str">
        <f t="shared" si="9"/>
        <v/>
      </c>
      <c r="E120" s="83" t="str">
        <f t="shared" si="10"/>
        <v/>
      </c>
      <c r="F120" t="str">
        <f t="shared" si="12"/>
        <v/>
      </c>
      <c r="G120" s="83" t="str">
        <f t="shared" si="13"/>
        <v/>
      </c>
    </row>
    <row r="121" spans="1:7" x14ac:dyDescent="0.35">
      <c r="A121" t="str">
        <f t="shared" si="11"/>
        <v>-</v>
      </c>
      <c r="B121" s="83" t="str">
        <f t="shared" si="7"/>
        <v/>
      </c>
      <c r="C121" s="83" t="str">
        <f t="shared" si="8"/>
        <v/>
      </c>
      <c r="D121" s="83" t="str">
        <f t="shared" si="9"/>
        <v/>
      </c>
      <c r="E121" s="83" t="str">
        <f t="shared" si="10"/>
        <v/>
      </c>
      <c r="F121" t="str">
        <f t="shared" si="12"/>
        <v/>
      </c>
      <c r="G121" s="83" t="str">
        <f t="shared" si="13"/>
        <v/>
      </c>
    </row>
    <row r="122" spans="1:7" x14ac:dyDescent="0.35">
      <c r="A122" t="str">
        <f t="shared" si="11"/>
        <v>-</v>
      </c>
      <c r="B122" s="83" t="str">
        <f t="shared" si="7"/>
        <v/>
      </c>
      <c r="C122" s="83" t="str">
        <f t="shared" si="8"/>
        <v/>
      </c>
      <c r="D122" s="83" t="str">
        <f t="shared" si="9"/>
        <v/>
      </c>
      <c r="E122" s="83" t="str">
        <f t="shared" si="10"/>
        <v/>
      </c>
      <c r="F122" t="str">
        <f t="shared" si="12"/>
        <v/>
      </c>
      <c r="G122" s="83" t="str">
        <f t="shared" si="13"/>
        <v/>
      </c>
    </row>
    <row r="123" spans="1:7" x14ac:dyDescent="0.35">
      <c r="A123" t="str">
        <f t="shared" si="11"/>
        <v>-</v>
      </c>
      <c r="B123" s="83" t="str">
        <f t="shared" si="7"/>
        <v/>
      </c>
      <c r="C123" s="83" t="str">
        <f t="shared" si="8"/>
        <v/>
      </c>
      <c r="D123" s="83" t="str">
        <f t="shared" si="9"/>
        <v/>
      </c>
      <c r="E123" s="83" t="str">
        <f t="shared" si="10"/>
        <v/>
      </c>
      <c r="F123" t="str">
        <f t="shared" si="12"/>
        <v/>
      </c>
      <c r="G123" s="83" t="str">
        <f t="shared" si="13"/>
        <v/>
      </c>
    </row>
    <row r="124" spans="1:7" x14ac:dyDescent="0.35">
      <c r="A124" t="str">
        <f t="shared" si="11"/>
        <v>-</v>
      </c>
      <c r="B124" s="83" t="str">
        <f t="shared" si="7"/>
        <v/>
      </c>
      <c r="C124" s="83" t="str">
        <f t="shared" si="8"/>
        <v/>
      </c>
      <c r="D124" s="83" t="str">
        <f t="shared" si="9"/>
        <v/>
      </c>
      <c r="E124" s="83" t="str">
        <f t="shared" si="10"/>
        <v/>
      </c>
      <c r="F124" t="str">
        <f t="shared" si="12"/>
        <v/>
      </c>
      <c r="G124" s="83" t="str">
        <f t="shared" si="13"/>
        <v/>
      </c>
    </row>
    <row r="125" spans="1:7" x14ac:dyDescent="0.35">
      <c r="A125" t="str">
        <f t="shared" si="11"/>
        <v>-</v>
      </c>
      <c r="B125" s="83" t="str">
        <f t="shared" si="7"/>
        <v/>
      </c>
      <c r="C125" s="83" t="str">
        <f t="shared" si="8"/>
        <v/>
      </c>
      <c r="D125" s="83" t="str">
        <f t="shared" si="9"/>
        <v/>
      </c>
      <c r="E125" s="83" t="str">
        <f t="shared" si="10"/>
        <v/>
      </c>
      <c r="F125" t="str">
        <f t="shared" si="12"/>
        <v/>
      </c>
      <c r="G125" s="83" t="str">
        <f t="shared" si="13"/>
        <v/>
      </c>
    </row>
    <row r="126" spans="1:7" x14ac:dyDescent="0.35">
      <c r="A126" t="str">
        <f t="shared" si="11"/>
        <v>-</v>
      </c>
      <c r="B126" s="83" t="str">
        <f t="shared" si="7"/>
        <v/>
      </c>
      <c r="C126" s="83" t="str">
        <f t="shared" si="8"/>
        <v/>
      </c>
      <c r="D126" s="83" t="str">
        <f t="shared" si="9"/>
        <v/>
      </c>
      <c r="E126" s="83" t="str">
        <f t="shared" si="10"/>
        <v/>
      </c>
      <c r="F126" t="str">
        <f t="shared" si="12"/>
        <v/>
      </c>
      <c r="G126" s="83" t="str">
        <f t="shared" si="13"/>
        <v/>
      </c>
    </row>
    <row r="127" spans="1:7" x14ac:dyDescent="0.35">
      <c r="A127" t="str">
        <f t="shared" si="11"/>
        <v>-</v>
      </c>
      <c r="B127" s="83" t="str">
        <f t="shared" si="7"/>
        <v/>
      </c>
      <c r="C127" s="83" t="str">
        <f t="shared" si="8"/>
        <v/>
      </c>
      <c r="D127" s="83" t="str">
        <f t="shared" si="9"/>
        <v/>
      </c>
      <c r="E127" s="83" t="str">
        <f t="shared" si="10"/>
        <v/>
      </c>
      <c r="F127" t="str">
        <f t="shared" si="12"/>
        <v/>
      </c>
      <c r="G127" s="83" t="str">
        <f t="shared" si="13"/>
        <v/>
      </c>
    </row>
    <row r="128" spans="1:7" x14ac:dyDescent="0.35">
      <c r="A128" t="str">
        <f t="shared" si="11"/>
        <v>-</v>
      </c>
      <c r="B128" s="83" t="str">
        <f t="shared" si="7"/>
        <v/>
      </c>
      <c r="C128" s="83" t="str">
        <f t="shared" si="8"/>
        <v/>
      </c>
      <c r="D128" s="83" t="str">
        <f t="shared" si="9"/>
        <v/>
      </c>
      <c r="E128" s="83" t="str">
        <f t="shared" si="10"/>
        <v/>
      </c>
      <c r="F128" t="str">
        <f t="shared" si="12"/>
        <v/>
      </c>
      <c r="G128" s="83" t="str">
        <f t="shared" si="13"/>
        <v/>
      </c>
    </row>
    <row r="129" spans="1:7" x14ac:dyDescent="0.35">
      <c r="A129" t="str">
        <f t="shared" si="11"/>
        <v>-</v>
      </c>
      <c r="B129" s="83" t="str">
        <f t="shared" si="7"/>
        <v/>
      </c>
      <c r="C129" s="83" t="str">
        <f t="shared" si="8"/>
        <v/>
      </c>
      <c r="D129" s="83" t="str">
        <f t="shared" si="9"/>
        <v/>
      </c>
      <c r="E129" s="83" t="str">
        <f t="shared" si="10"/>
        <v/>
      </c>
      <c r="F129" t="str">
        <f t="shared" si="12"/>
        <v/>
      </c>
      <c r="G129" s="83" t="str">
        <f t="shared" si="13"/>
        <v/>
      </c>
    </row>
    <row r="130" spans="1:7" x14ac:dyDescent="0.35">
      <c r="A130" t="str">
        <f t="shared" si="11"/>
        <v>-</v>
      </c>
      <c r="B130" s="83" t="str">
        <f t="shared" si="7"/>
        <v/>
      </c>
      <c r="C130" s="83" t="str">
        <f t="shared" si="8"/>
        <v/>
      </c>
      <c r="D130" s="83" t="str">
        <f t="shared" si="9"/>
        <v/>
      </c>
      <c r="E130" s="83" t="str">
        <f t="shared" si="10"/>
        <v/>
      </c>
      <c r="F130" t="str">
        <f t="shared" si="12"/>
        <v/>
      </c>
      <c r="G130" s="83" t="str">
        <f t="shared" si="13"/>
        <v/>
      </c>
    </row>
    <row r="131" spans="1:7" x14ac:dyDescent="0.35">
      <c r="A131" t="str">
        <f t="shared" si="11"/>
        <v>-</v>
      </c>
      <c r="B131" s="83" t="str">
        <f t="shared" si="7"/>
        <v/>
      </c>
      <c r="C131" s="83" t="str">
        <f t="shared" si="8"/>
        <v/>
      </c>
      <c r="D131" s="83" t="str">
        <f t="shared" si="9"/>
        <v/>
      </c>
      <c r="E131" s="83" t="str">
        <f t="shared" si="10"/>
        <v/>
      </c>
      <c r="F131" t="str">
        <f t="shared" si="12"/>
        <v/>
      </c>
      <c r="G131" s="83" t="str">
        <f t="shared" si="13"/>
        <v/>
      </c>
    </row>
    <row r="132" spans="1:7" x14ac:dyDescent="0.35">
      <c r="A132" t="str">
        <f t="shared" si="11"/>
        <v>-</v>
      </c>
      <c r="B132" s="83" t="str">
        <f t="shared" si="7"/>
        <v/>
      </c>
      <c r="C132" s="83" t="str">
        <f t="shared" si="8"/>
        <v/>
      </c>
      <c r="D132" s="83" t="str">
        <f t="shared" si="9"/>
        <v/>
      </c>
      <c r="E132" s="83" t="str">
        <f t="shared" si="10"/>
        <v/>
      </c>
      <c r="F132" t="str">
        <f t="shared" si="12"/>
        <v/>
      </c>
      <c r="G132" s="83" t="str">
        <f t="shared" si="13"/>
        <v/>
      </c>
    </row>
    <row r="133" spans="1:7" x14ac:dyDescent="0.35">
      <c r="A133" t="str">
        <f t="shared" si="11"/>
        <v>-</v>
      </c>
      <c r="B133" s="83" t="str">
        <f t="shared" si="7"/>
        <v/>
      </c>
      <c r="C133" s="83" t="str">
        <f t="shared" si="8"/>
        <v/>
      </c>
      <c r="D133" s="83" t="str">
        <f t="shared" si="9"/>
        <v/>
      </c>
      <c r="E133" s="83" t="str">
        <f t="shared" si="10"/>
        <v/>
      </c>
      <c r="F133" t="str">
        <f t="shared" si="12"/>
        <v/>
      </c>
      <c r="G133" s="83" t="str">
        <f t="shared" si="13"/>
        <v/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9A00C-45E6-4A25-A4B6-7C2E8B1CD9F8}">
  <dimension ref="B3:G23"/>
  <sheetViews>
    <sheetView zoomScale="70" zoomScaleNormal="70" workbookViewId="0">
      <selection activeCell="B10" sqref="B10"/>
    </sheetView>
  </sheetViews>
  <sheetFormatPr baseColWidth="10" defaultRowHeight="15.5" x14ac:dyDescent="0.35"/>
  <cols>
    <col min="1" max="1" width="8.6640625" style="170" customWidth="1"/>
    <col min="2" max="2" width="51.08203125" style="170" customWidth="1"/>
    <col min="3" max="3" width="7.9140625" style="170" customWidth="1"/>
    <col min="4" max="4" width="15" style="170" customWidth="1"/>
    <col min="5" max="5" width="20.08203125" style="170" customWidth="1"/>
    <col min="6" max="6" width="14.08203125" style="170" customWidth="1"/>
    <col min="7" max="7" width="17.58203125" style="170" bestFit="1" customWidth="1"/>
    <col min="8" max="8" width="16.08203125" style="170" customWidth="1"/>
    <col min="9" max="16384" width="10.6640625" style="170"/>
  </cols>
  <sheetData>
    <row r="3" spans="2:7" ht="39" customHeight="1" x14ac:dyDescent="0.35">
      <c r="B3" s="204" t="s">
        <v>102</v>
      </c>
      <c r="C3" s="204" t="s">
        <v>92</v>
      </c>
      <c r="D3" s="204" t="s">
        <v>103</v>
      </c>
      <c r="E3" s="205" t="s">
        <v>105</v>
      </c>
      <c r="F3" s="204" t="s">
        <v>104</v>
      </c>
      <c r="G3" s="204" t="s">
        <v>106</v>
      </c>
    </row>
    <row r="4" spans="2:7" ht="16" thickBot="1" x14ac:dyDescent="0.4">
      <c r="B4" s="211" t="s">
        <v>197</v>
      </c>
      <c r="C4" s="206">
        <v>1</v>
      </c>
      <c r="D4" s="211">
        <v>1500000</v>
      </c>
      <c r="E4" s="206">
        <f t="shared" ref="E4:E10" si="0">C4*D4</f>
        <v>1500000</v>
      </c>
      <c r="F4" s="212">
        <v>20</v>
      </c>
      <c r="G4" s="206">
        <f t="shared" ref="G4:G10" si="1">E4/F4</f>
        <v>75000</v>
      </c>
    </row>
    <row r="5" spans="2:7" ht="16" thickBot="1" x14ac:dyDescent="0.4">
      <c r="B5" s="211" t="s">
        <v>198</v>
      </c>
      <c r="C5" s="207">
        <v>1</v>
      </c>
      <c r="D5" s="211">
        <v>500000</v>
      </c>
      <c r="E5" s="206">
        <f t="shared" si="0"/>
        <v>500000</v>
      </c>
      <c r="F5" s="212">
        <v>20</v>
      </c>
      <c r="G5" s="206">
        <f t="shared" si="1"/>
        <v>25000</v>
      </c>
    </row>
    <row r="6" spans="2:7" ht="33" customHeight="1" x14ac:dyDescent="0.35">
      <c r="B6" s="211" t="s">
        <v>199</v>
      </c>
      <c r="C6" s="208">
        <v>1</v>
      </c>
      <c r="D6" s="211">
        <v>1500000</v>
      </c>
      <c r="E6" s="214">
        <f t="shared" si="0"/>
        <v>1500000</v>
      </c>
      <c r="F6" s="215">
        <v>20</v>
      </c>
      <c r="G6" s="214">
        <f t="shared" si="1"/>
        <v>75000</v>
      </c>
    </row>
    <row r="7" spans="2:7" x14ac:dyDescent="0.35">
      <c r="B7" s="211" t="s">
        <v>200</v>
      </c>
      <c r="C7" s="209">
        <v>1</v>
      </c>
      <c r="D7" s="211">
        <v>160000</v>
      </c>
      <c r="E7" s="209">
        <f t="shared" si="0"/>
        <v>160000</v>
      </c>
      <c r="F7" s="212">
        <v>15</v>
      </c>
      <c r="G7" s="209">
        <f t="shared" si="1"/>
        <v>10666.666666666666</v>
      </c>
    </row>
    <row r="8" spans="2:7" x14ac:dyDescent="0.35">
      <c r="B8" s="211" t="s">
        <v>196</v>
      </c>
      <c r="C8" s="209">
        <v>1</v>
      </c>
      <c r="D8" s="211">
        <v>40000</v>
      </c>
      <c r="E8" s="209">
        <f>C8*D8</f>
        <v>40000</v>
      </c>
      <c r="F8" s="212">
        <v>10</v>
      </c>
      <c r="G8" s="209">
        <f>E8/F8</f>
        <v>4000</v>
      </c>
    </row>
    <row r="9" spans="2:7" x14ac:dyDescent="0.35">
      <c r="B9" s="211" t="s">
        <v>193</v>
      </c>
      <c r="C9" s="209">
        <v>1</v>
      </c>
      <c r="D9" s="211">
        <v>250000</v>
      </c>
      <c r="E9" s="209">
        <f t="shared" si="0"/>
        <v>250000</v>
      </c>
      <c r="F9" s="212">
        <v>10</v>
      </c>
      <c r="G9" s="209">
        <f t="shared" si="1"/>
        <v>25000</v>
      </c>
    </row>
    <row r="10" spans="2:7" x14ac:dyDescent="0.35">
      <c r="B10" s="211" t="s">
        <v>194</v>
      </c>
      <c r="C10" s="209">
        <v>1</v>
      </c>
      <c r="D10" s="211">
        <v>40000</v>
      </c>
      <c r="E10" s="209">
        <f t="shared" si="0"/>
        <v>40000</v>
      </c>
      <c r="F10" s="212">
        <v>10</v>
      </c>
      <c r="G10" s="209">
        <f t="shared" si="1"/>
        <v>4000</v>
      </c>
    </row>
    <row r="11" spans="2:7" x14ac:dyDescent="0.35">
      <c r="B11" s="211" t="s">
        <v>195</v>
      </c>
      <c r="C11" s="209">
        <v>1</v>
      </c>
      <c r="D11" s="211">
        <f>100000</f>
        <v>100000</v>
      </c>
      <c r="E11" s="209">
        <f t="shared" ref="E11:E22" si="2">C11*D11</f>
        <v>100000</v>
      </c>
      <c r="F11" s="212">
        <v>10</v>
      </c>
      <c r="G11" s="209">
        <f t="shared" ref="G11:G15" si="3">E11/F11</f>
        <v>10000</v>
      </c>
    </row>
    <row r="12" spans="2:7" x14ac:dyDescent="0.35">
      <c r="B12" s="211" t="s">
        <v>190</v>
      </c>
      <c r="C12" s="209">
        <v>1</v>
      </c>
      <c r="D12" s="211">
        <f>97987*12</f>
        <v>1175844</v>
      </c>
      <c r="E12" s="213">
        <f>C12*D12</f>
        <v>1175844</v>
      </c>
      <c r="F12" s="212">
        <f>20</f>
        <v>20</v>
      </c>
      <c r="G12" s="209">
        <f t="shared" si="3"/>
        <v>58792.2</v>
      </c>
    </row>
    <row r="13" spans="2:7" x14ac:dyDescent="0.35">
      <c r="B13" s="211" t="s">
        <v>21</v>
      </c>
      <c r="C13" s="209">
        <v>1</v>
      </c>
      <c r="D13" s="211">
        <f>433902*4</f>
        <v>1735608</v>
      </c>
      <c r="E13" s="213">
        <f>C13*D13</f>
        <v>1735608</v>
      </c>
      <c r="F13" s="212">
        <v>7</v>
      </c>
      <c r="G13" s="209">
        <f t="shared" si="3"/>
        <v>247944</v>
      </c>
    </row>
    <row r="14" spans="2:7" x14ac:dyDescent="0.35">
      <c r="B14" s="211" t="s">
        <v>191</v>
      </c>
      <c r="C14" s="209">
        <v>1</v>
      </c>
      <c r="D14" s="211">
        <f>2116221</f>
        <v>2116221</v>
      </c>
      <c r="E14" s="213">
        <f t="shared" si="2"/>
        <v>2116221</v>
      </c>
      <c r="F14" s="212">
        <v>10</v>
      </c>
      <c r="G14" s="209">
        <f t="shared" si="3"/>
        <v>211622.1</v>
      </c>
    </row>
    <row r="15" spans="2:7" x14ac:dyDescent="0.35">
      <c r="B15" s="211" t="s">
        <v>192</v>
      </c>
      <c r="C15" s="209">
        <v>1</v>
      </c>
      <c r="D15" s="211">
        <f>7646474-(D12+D13+D14)</f>
        <v>2618801</v>
      </c>
      <c r="E15" s="209">
        <f t="shared" si="2"/>
        <v>2618801</v>
      </c>
      <c r="F15" s="212">
        <v>10</v>
      </c>
      <c r="G15" s="209">
        <f t="shared" si="3"/>
        <v>261880.1</v>
      </c>
    </row>
    <row r="16" spans="2:7" ht="16" thickBot="1" x14ac:dyDescent="0.4">
      <c r="B16" s="210"/>
      <c r="C16" s="209"/>
      <c r="D16" s="209"/>
      <c r="E16" s="209">
        <f>C16*D16</f>
        <v>0</v>
      </c>
      <c r="F16" s="209"/>
      <c r="G16" s="209"/>
    </row>
    <row r="17" spans="2:7" ht="16" thickBot="1" x14ac:dyDescent="0.4">
      <c r="B17" s="210"/>
      <c r="C17" s="209"/>
      <c r="D17" s="209"/>
      <c r="E17" s="209">
        <f t="shared" si="2"/>
        <v>0</v>
      </c>
      <c r="F17" s="209"/>
      <c r="G17" s="209"/>
    </row>
    <row r="18" spans="2:7" ht="16" thickBot="1" x14ac:dyDescent="0.4">
      <c r="B18" s="210"/>
      <c r="C18" s="209"/>
      <c r="D18" s="209"/>
      <c r="E18" s="209">
        <f t="shared" si="2"/>
        <v>0</v>
      </c>
      <c r="F18" s="209"/>
      <c r="G18" s="209"/>
    </row>
    <row r="19" spans="2:7" ht="16" thickBot="1" x14ac:dyDescent="0.4">
      <c r="B19" s="210"/>
      <c r="C19" s="209"/>
      <c r="D19" s="209"/>
      <c r="E19" s="209">
        <f t="shared" si="2"/>
        <v>0</v>
      </c>
      <c r="F19" s="209"/>
      <c r="G19" s="209"/>
    </row>
    <row r="20" spans="2:7" ht="16" thickBot="1" x14ac:dyDescent="0.4">
      <c r="B20" s="210"/>
      <c r="C20" s="209"/>
      <c r="D20" s="209"/>
      <c r="E20" s="209">
        <f t="shared" si="2"/>
        <v>0</v>
      </c>
      <c r="F20" s="209"/>
      <c r="G20" s="209"/>
    </row>
    <row r="21" spans="2:7" ht="16" thickBot="1" x14ac:dyDescent="0.4">
      <c r="B21" s="210"/>
      <c r="C21" s="209"/>
      <c r="D21" s="209"/>
      <c r="E21" s="209">
        <f>C21*D21</f>
        <v>0</v>
      </c>
      <c r="F21" s="209"/>
      <c r="G21" s="209"/>
    </row>
    <row r="22" spans="2:7" ht="16" thickBot="1" x14ac:dyDescent="0.4">
      <c r="B22" s="210"/>
      <c r="C22" s="209"/>
      <c r="D22" s="209"/>
      <c r="E22" s="209">
        <f t="shared" si="2"/>
        <v>0</v>
      </c>
      <c r="F22" s="209"/>
      <c r="G22" s="209"/>
    </row>
    <row r="23" spans="2:7" ht="17.5" x14ac:dyDescent="0.35">
      <c r="B23" s="171" t="s">
        <v>98</v>
      </c>
      <c r="C23" s="171"/>
      <c r="D23" s="171"/>
      <c r="E23" s="172">
        <f>SUM(E4:E22)</f>
        <v>11736474</v>
      </c>
      <c r="F23" s="173"/>
      <c r="G23" s="173">
        <f>SUM(G4:G22)</f>
        <v>1008905.0666666667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623A85E174ADC41BB6BD22E175149F8" ma:contentTypeVersion="2" ma:contentTypeDescription="Ein neues Dokument erstellen." ma:contentTypeScope="" ma:versionID="fbe5eb7ca8db88ced4e5caee14acd306">
  <xsd:schema xmlns:xsd="http://www.w3.org/2001/XMLSchema" xmlns:xs="http://www.w3.org/2001/XMLSchema" xmlns:p="http://schemas.microsoft.com/office/2006/metadata/properties" xmlns:ns2="2c8bc9bb-3477-4b80-ae03-7439853ad4b2" targetNamespace="http://schemas.microsoft.com/office/2006/metadata/properties" ma:root="true" ma:fieldsID="02f248ea13370d3ccb89ffb4993ed240" ns2:_="">
    <xsd:import namespace="2c8bc9bb-3477-4b80-ae03-7439853ad4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8bc9bb-3477-4b80-ae03-7439853ad4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6D8DCE-0243-4069-9F50-0F3E62C62A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8bc9bb-3477-4b80-ae03-7439853ad4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4E8B37-EAFC-444E-8749-A9391CA4A9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3B7F14-C439-4541-9ED6-1CC54FA765C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Table rentabilité</vt:lpstr>
      <vt:lpstr>Remboursement Mensualités</vt:lpstr>
      <vt:lpstr>investissement réel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Jules Jagot</dc:creator>
  <cp:keywords/>
  <dc:description/>
  <cp:lastModifiedBy>GIZ</cp:lastModifiedBy>
  <cp:revision/>
  <dcterms:created xsi:type="dcterms:W3CDTF">2019-05-03T18:25:17Z</dcterms:created>
  <dcterms:modified xsi:type="dcterms:W3CDTF">2021-11-29T15:33:51Z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0x0101007623A85E174ADC41BB6BD22E175149F8</vt:lpwstr>
  </property>
</Properties>
</file>